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30" windowWidth="13935" windowHeight="7770"/>
  </bookViews>
  <sheets>
    <sheet name="入力" sheetId="21" r:id="rId1"/>
    <sheet name="月別計算" sheetId="20" r:id="rId2"/>
    <sheet name="H29" sheetId="22" r:id="rId3"/>
    <sheet name="H28" sheetId="8" r:id="rId4"/>
    <sheet name="H27" sheetId="7" r:id="rId5"/>
    <sheet name="H26" sheetId="3" r:id="rId6"/>
    <sheet name="H25" sheetId="1" r:id="rId7"/>
    <sheet name="H24" sheetId="4" r:id="rId8"/>
    <sheet name="Sheet1" sheetId="19" r:id="rId9"/>
  </sheets>
  <definedNames>
    <definedName name="_xlnm.Print_Area" localSheetId="0">入力!$A$1:$P$162</definedName>
  </definedNames>
  <calcPr calcId="125725"/>
</workbook>
</file>

<file path=xl/calcChain.xml><?xml version="1.0" encoding="utf-8"?>
<calcChain xmlns="http://schemas.openxmlformats.org/spreadsheetml/2006/main">
  <c r="B125" i="21"/>
  <c r="B16"/>
  <c r="T8" l="1"/>
  <c r="T9"/>
  <c r="T10"/>
  <c r="T11"/>
  <c r="T12"/>
  <c r="T13"/>
  <c r="T14"/>
  <c r="T15"/>
  <c r="T7"/>
  <c r="AK9" l="1"/>
  <c r="AL9"/>
  <c r="AM9"/>
  <c r="AN9"/>
  <c r="AO9"/>
  <c r="AP9"/>
  <c r="AQ9"/>
  <c r="AR9"/>
  <c r="AS9"/>
  <c r="AT9"/>
  <c r="AU9"/>
  <c r="AK10"/>
  <c r="AL10"/>
  <c r="AM10"/>
  <c r="AN10"/>
  <c r="AO10"/>
  <c r="AP10"/>
  <c r="AQ10"/>
  <c r="AR10"/>
  <c r="AS10"/>
  <c r="AT10"/>
  <c r="AU10"/>
  <c r="AK11"/>
  <c r="AL11"/>
  <c r="AM11"/>
  <c r="AN11"/>
  <c r="AO11"/>
  <c r="AP11"/>
  <c r="AQ11"/>
  <c r="AR11"/>
  <c r="AS11"/>
  <c r="AT11"/>
  <c r="AU11"/>
  <c r="AK12"/>
  <c r="AL12"/>
  <c r="AM12"/>
  <c r="AN12"/>
  <c r="AO12"/>
  <c r="AP12"/>
  <c r="AQ12"/>
  <c r="AR12"/>
  <c r="AS12"/>
  <c r="AT12"/>
  <c r="AU12"/>
  <c r="AK13"/>
  <c r="AL13"/>
  <c r="AM13"/>
  <c r="AN13"/>
  <c r="AO13"/>
  <c r="AP13"/>
  <c r="AQ13"/>
  <c r="AR13"/>
  <c r="AS13"/>
  <c r="AT13"/>
  <c r="AU13"/>
  <c r="AK14"/>
  <c r="AL14"/>
  <c r="AM14"/>
  <c r="AN14"/>
  <c r="AO14"/>
  <c r="AP14"/>
  <c r="AQ14"/>
  <c r="AR14"/>
  <c r="AS14"/>
  <c r="AT14"/>
  <c r="AU14"/>
  <c r="AK15"/>
  <c r="AL15"/>
  <c r="AM15"/>
  <c r="AN15"/>
  <c r="AO15"/>
  <c r="AP15"/>
  <c r="AQ15"/>
  <c r="AR15"/>
  <c r="AS15"/>
  <c r="AT15"/>
  <c r="AU15"/>
  <c r="AJ9"/>
  <c r="AJ10"/>
  <c r="AJ11"/>
  <c r="AJ12"/>
  <c r="AJ13"/>
  <c r="AJ14"/>
  <c r="AJ15"/>
  <c r="F105"/>
  <c r="F106" s="1"/>
  <c r="F107" s="1"/>
  <c r="F108" s="1"/>
  <c r="F109" s="1"/>
  <c r="F110" s="1"/>
  <c r="F111" s="1"/>
  <c r="F112" s="1"/>
  <c r="E105"/>
  <c r="E106" s="1"/>
  <c r="E107" s="1"/>
  <c r="E108" s="1"/>
  <c r="E109" s="1"/>
  <c r="E110" s="1"/>
  <c r="E111" s="1"/>
  <c r="E112" s="1"/>
  <c r="C16"/>
  <c r="A108" s="1"/>
  <c r="E115" s="1"/>
  <c r="D105"/>
  <c r="D106" s="1"/>
  <c r="U2"/>
  <c r="X7" l="1"/>
  <c r="Z7"/>
  <c r="AB7"/>
  <c r="AD7"/>
  <c r="AF7"/>
  <c r="AH7"/>
  <c r="Y8"/>
  <c r="AL8" s="1"/>
  <c r="AA8"/>
  <c r="AN8" s="1"/>
  <c r="AC8"/>
  <c r="AP8" s="1"/>
  <c r="AE8"/>
  <c r="AR8" s="1"/>
  <c r="AG8"/>
  <c r="AT8" s="1"/>
  <c r="X9"/>
  <c r="Z9"/>
  <c r="AB9"/>
  <c r="AD9"/>
  <c r="AF9"/>
  <c r="AH9"/>
  <c r="Y10"/>
  <c r="AA10"/>
  <c r="AC10"/>
  <c r="AE10"/>
  <c r="AG10"/>
  <c r="X11"/>
  <c r="Z11"/>
  <c r="AB11"/>
  <c r="AD11"/>
  <c r="AF11"/>
  <c r="AH11"/>
  <c r="Y12"/>
  <c r="AA12"/>
  <c r="AC12"/>
  <c r="AE12"/>
  <c r="AG12"/>
  <c r="X13"/>
  <c r="Z13"/>
  <c r="AB13"/>
  <c r="AD13"/>
  <c r="AF13"/>
  <c r="AH13"/>
  <c r="Y14"/>
  <c r="AA14"/>
  <c r="AC14"/>
  <c r="AE14"/>
  <c r="AG14"/>
  <c r="X15"/>
  <c r="Z15"/>
  <c r="AB15"/>
  <c r="AD15"/>
  <c r="AF15"/>
  <c r="AH15"/>
  <c r="W8"/>
  <c r="AJ8" s="1"/>
  <c r="W10"/>
  <c r="W12"/>
  <c r="W14"/>
  <c r="Y7"/>
  <c r="AA7"/>
  <c r="AC7"/>
  <c r="AE7"/>
  <c r="AG7"/>
  <c r="X8"/>
  <c r="AK8" s="1"/>
  <c r="Z8"/>
  <c r="AM8" s="1"/>
  <c r="AB8"/>
  <c r="AO8" s="1"/>
  <c r="AD8"/>
  <c r="AQ8" s="1"/>
  <c r="AF8"/>
  <c r="AS8" s="1"/>
  <c r="AH8"/>
  <c r="AU8" s="1"/>
  <c r="Y9"/>
  <c r="AA9"/>
  <c r="AC9"/>
  <c r="AE9"/>
  <c r="AG9"/>
  <c r="X10"/>
  <c r="Z10"/>
  <c r="AB10"/>
  <c r="AD10"/>
  <c r="AF10"/>
  <c r="AH10"/>
  <c r="Y11"/>
  <c r="AA11"/>
  <c r="AC11"/>
  <c r="AE11"/>
  <c r="AG11"/>
  <c r="X12"/>
  <c r="Z12"/>
  <c r="AB12"/>
  <c r="AD12"/>
  <c r="AF12"/>
  <c r="AH12"/>
  <c r="Y13"/>
  <c r="AA13"/>
  <c r="AC13"/>
  <c r="AE13"/>
  <c r="AG13"/>
  <c r="X14"/>
  <c r="Z14"/>
  <c r="AB14"/>
  <c r="AD14"/>
  <c r="AF14"/>
  <c r="AH14"/>
  <c r="Y15"/>
  <c r="AA15"/>
  <c r="AC15"/>
  <c r="AE15"/>
  <c r="AG15"/>
  <c r="W15"/>
  <c r="W9"/>
  <c r="W11"/>
  <c r="W13"/>
  <c r="W7"/>
  <c r="AJ7" s="1"/>
  <c r="F114"/>
  <c r="E122"/>
  <c r="F121"/>
  <c r="E120"/>
  <c r="F119"/>
  <c r="E118"/>
  <c r="F117"/>
  <c r="E116"/>
  <c r="F115"/>
  <c r="D115"/>
  <c r="E114"/>
  <c r="F122"/>
  <c r="E121"/>
  <c r="F120"/>
  <c r="E119"/>
  <c r="F118"/>
  <c r="E117"/>
  <c r="F116"/>
  <c r="D116"/>
  <c r="G116" s="1"/>
  <c r="D114"/>
  <c r="D107"/>
  <c r="D117" s="1"/>
  <c r="AJ16" l="1"/>
  <c r="AT7"/>
  <c r="AT16" s="1"/>
  <c r="AG16"/>
  <c r="AP7"/>
  <c r="AP16" s="1"/>
  <c r="AC16"/>
  <c r="AL7"/>
  <c r="AL16" s="1"/>
  <c r="Y16"/>
  <c r="AF16"/>
  <c r="AS7"/>
  <c r="AS16" s="1"/>
  <c r="AB16"/>
  <c r="AO7"/>
  <c r="AO16" s="1"/>
  <c r="X16"/>
  <c r="AK7"/>
  <c r="AK16" s="1"/>
  <c r="AR7"/>
  <c r="AR16" s="1"/>
  <c r="AE16"/>
  <c r="AN7"/>
  <c r="AN16" s="1"/>
  <c r="AA16"/>
  <c r="AH16"/>
  <c r="AU7"/>
  <c r="AU16" s="1"/>
  <c r="AD16"/>
  <c r="AQ7"/>
  <c r="AQ16" s="1"/>
  <c r="Z16"/>
  <c r="AM7"/>
  <c r="AM16" s="1"/>
  <c r="G115"/>
  <c r="G114"/>
  <c r="D108"/>
  <c r="D118" s="1"/>
  <c r="D109" l="1"/>
  <c r="D119" s="1"/>
  <c r="G118"/>
  <c r="G117"/>
  <c r="D110" l="1"/>
  <c r="D120" s="1"/>
  <c r="G119"/>
  <c r="D111" l="1"/>
  <c r="D121" s="1"/>
  <c r="G120"/>
  <c r="D112" l="1"/>
  <c r="G121"/>
  <c r="D122" l="1"/>
  <c r="G122" s="1"/>
  <c r="A105"/>
  <c r="A115" s="1"/>
  <c r="D3" s="1"/>
  <c r="F20"/>
  <c r="G20" s="1"/>
  <c r="H20" s="1"/>
  <c r="I20" s="1"/>
  <c r="J20" s="1"/>
  <c r="K20" s="1"/>
  <c r="L20" s="1"/>
  <c r="M20" s="1"/>
  <c r="N20" s="1"/>
  <c r="O20" s="1"/>
  <c r="P20" s="1"/>
  <c r="C83" i="22"/>
  <c r="G83" s="1"/>
  <c r="C82"/>
  <c r="G82" s="1"/>
  <c r="C81"/>
  <c r="G81" s="1"/>
  <c r="C79"/>
  <c r="G79" s="1"/>
  <c r="E78"/>
  <c r="C78"/>
  <c r="G78" s="1"/>
  <c r="E77"/>
  <c r="C77"/>
  <c r="G77" s="1"/>
  <c r="I77" s="1"/>
  <c r="C75"/>
  <c r="G75" s="1"/>
  <c r="C74"/>
  <c r="G74" s="1"/>
  <c r="G73"/>
  <c r="C73"/>
  <c r="C61"/>
  <c r="G61" s="1"/>
  <c r="C60"/>
  <c r="G60" s="1"/>
  <c r="G59"/>
  <c r="C59"/>
  <c r="C57"/>
  <c r="G57" s="1"/>
  <c r="E56"/>
  <c r="C56"/>
  <c r="E55"/>
  <c r="C53"/>
  <c r="G53" s="1"/>
  <c r="C52"/>
  <c r="G52" s="1"/>
  <c r="G51"/>
  <c r="C51"/>
  <c r="C39"/>
  <c r="G39" s="1"/>
  <c r="C38"/>
  <c r="G38" s="1"/>
  <c r="G37"/>
  <c r="C37"/>
  <c r="C35"/>
  <c r="G35" s="1"/>
  <c r="E34"/>
  <c r="C34"/>
  <c r="E33"/>
  <c r="C33"/>
  <c r="C55" s="1"/>
  <c r="G55" s="1"/>
  <c r="C31"/>
  <c r="G31" s="1"/>
  <c r="C30"/>
  <c r="G30" s="1"/>
  <c r="C29"/>
  <c r="G29" s="1"/>
  <c r="T15"/>
  <c r="S15"/>
  <c r="R15"/>
  <c r="T14"/>
  <c r="S14"/>
  <c r="R14"/>
  <c r="T13"/>
  <c r="S13"/>
  <c r="R13"/>
  <c r="G13"/>
  <c r="T12"/>
  <c r="S12"/>
  <c r="R12"/>
  <c r="G12"/>
  <c r="T11"/>
  <c r="S11"/>
  <c r="R11"/>
  <c r="G11"/>
  <c r="T10"/>
  <c r="S10"/>
  <c r="R10"/>
  <c r="G9"/>
  <c r="E8"/>
  <c r="G8" s="1"/>
  <c r="E7"/>
  <c r="G7" s="1"/>
  <c r="G5"/>
  <c r="G4"/>
  <c r="G3"/>
  <c r="I3" s="1"/>
  <c r="G34" l="1"/>
  <c r="G56"/>
  <c r="I55" s="1"/>
  <c r="I11"/>
  <c r="O13" s="1"/>
  <c r="O5"/>
  <c r="K5"/>
  <c r="O79"/>
  <c r="K79"/>
  <c r="M79" s="1"/>
  <c r="I7"/>
  <c r="I29"/>
  <c r="I81"/>
  <c r="I37"/>
  <c r="I51"/>
  <c r="I59"/>
  <c r="I73"/>
  <c r="K13"/>
  <c r="M13" s="1"/>
  <c r="G33"/>
  <c r="I33" s="1"/>
  <c r="V14" i="21"/>
  <c r="V11"/>
  <c r="V10"/>
  <c r="V9"/>
  <c r="U14"/>
  <c r="U11"/>
  <c r="U10"/>
  <c r="U9"/>
  <c r="G16"/>
  <c r="K57" i="22" l="1"/>
  <c r="M57" s="1"/>
  <c r="O57"/>
  <c r="O35"/>
  <c r="K35"/>
  <c r="M35" s="1"/>
  <c r="O75"/>
  <c r="K75"/>
  <c r="O53"/>
  <c r="K53"/>
  <c r="O83"/>
  <c r="K83"/>
  <c r="M83" s="1"/>
  <c r="O9"/>
  <c r="K9"/>
  <c r="M9" s="1"/>
  <c r="O61"/>
  <c r="K61"/>
  <c r="M61" s="1"/>
  <c r="O39"/>
  <c r="K39"/>
  <c r="M39" s="1"/>
  <c r="O31"/>
  <c r="K31"/>
  <c r="M5"/>
  <c r="K16" l="1"/>
  <c r="K19"/>
  <c r="M19" s="1"/>
  <c r="M16"/>
  <c r="K42"/>
  <c r="M31"/>
  <c r="K64"/>
  <c r="M53"/>
  <c r="K86"/>
  <c r="M75"/>
  <c r="V13" i="21"/>
  <c r="U13"/>
  <c r="F17"/>
  <c r="F16"/>
  <c r="Q40"/>
  <c r="K89" i="22" l="1"/>
  <c r="M89" s="1"/>
  <c r="M86"/>
  <c r="K67"/>
  <c r="M67" s="1"/>
  <c r="M64"/>
  <c r="K45"/>
  <c r="M45" s="1"/>
  <c r="M42"/>
  <c r="G17" i="21"/>
  <c r="C4" i="20"/>
  <c r="C3"/>
  <c r="X12" i="19"/>
  <c r="X9"/>
  <c r="Y9"/>
  <c r="Z9"/>
  <c r="AA9"/>
  <c r="X10"/>
  <c r="W10" s="1"/>
  <c r="Y10"/>
  <c r="Z10"/>
  <c r="AA10"/>
  <c r="X11"/>
  <c r="W11" s="1"/>
  <c r="Y11"/>
  <c r="Z11"/>
  <c r="AA11"/>
  <c r="W12"/>
  <c r="Y12"/>
  <c r="Z12"/>
  <c r="AA12"/>
  <c r="AA8"/>
  <c r="Y8"/>
  <c r="Z8"/>
  <c r="X8"/>
  <c r="W8" s="1"/>
  <c r="V55" i="21"/>
  <c r="U54"/>
  <c r="U53"/>
  <c r="U52"/>
  <c r="U51"/>
  <c r="U50"/>
  <c r="U49"/>
  <c r="V50"/>
  <c r="W50"/>
  <c r="X50"/>
  <c r="V51"/>
  <c r="W51"/>
  <c r="X51"/>
  <c r="V52"/>
  <c r="W52"/>
  <c r="X52"/>
  <c r="V53"/>
  <c r="W53"/>
  <c r="X53"/>
  <c r="V54"/>
  <c r="W54"/>
  <c r="X54"/>
  <c r="U55"/>
  <c r="W55"/>
  <c r="X55"/>
  <c r="U56"/>
  <c r="V56"/>
  <c r="W56"/>
  <c r="X56"/>
  <c r="X49"/>
  <c r="W49"/>
  <c r="V49"/>
  <c r="U46"/>
  <c r="V46"/>
  <c r="W46"/>
  <c r="X46"/>
  <c r="U47"/>
  <c r="V47"/>
  <c r="W47"/>
  <c r="X47"/>
  <c r="X45"/>
  <c r="W45"/>
  <c r="V45"/>
  <c r="U45"/>
  <c r="T45" s="1"/>
  <c r="S57"/>
  <c r="H17" l="1"/>
  <c r="H16"/>
  <c r="W9" i="19"/>
  <c r="U48" i="21"/>
  <c r="U57"/>
  <c r="P3" i="19"/>
  <c r="N2"/>
  <c r="S2"/>
  <c r="C6"/>
  <c r="Q3"/>
  <c r="R3"/>
  <c r="Q5"/>
  <c r="O3"/>
  <c r="C3"/>
  <c r="M5"/>
  <c r="M4"/>
  <c r="B6"/>
  <c r="B8"/>
  <c r="B9"/>
  <c r="B10"/>
  <c r="B11"/>
  <c r="B12"/>
  <c r="B13"/>
  <c r="B14"/>
  <c r="B7"/>
  <c r="B5"/>
  <c r="B4"/>
  <c r="K47" i="21"/>
  <c r="K46"/>
  <c r="W5" i="20" l="1"/>
  <c r="C5"/>
  <c r="I17" i="21"/>
  <c r="I16"/>
  <c r="T47"/>
  <c r="T46"/>
  <c r="N3" i="19"/>
  <c r="S3" s="1"/>
  <c r="M7"/>
  <c r="M13"/>
  <c r="M11"/>
  <c r="M9"/>
  <c r="M14"/>
  <c r="M12"/>
  <c r="M10"/>
  <c r="M8"/>
  <c r="O5"/>
  <c r="R5"/>
  <c r="P5"/>
  <c r="Q4"/>
  <c r="O4"/>
  <c r="R4"/>
  <c r="P4"/>
  <c r="B71" i="21"/>
  <c r="B70"/>
  <c r="B69"/>
  <c r="G71"/>
  <c r="G70"/>
  <c r="G69"/>
  <c r="F71"/>
  <c r="F70"/>
  <c r="F69"/>
  <c r="E71"/>
  <c r="E70"/>
  <c r="I70" s="1"/>
  <c r="E69"/>
  <c r="J17" l="1"/>
  <c r="J16"/>
  <c r="N4" i="19"/>
  <c r="S4" s="1"/>
  <c r="N5"/>
  <c r="S5" s="1"/>
  <c r="Q10"/>
  <c r="P10"/>
  <c r="R10"/>
  <c r="O10"/>
  <c r="N10" s="1"/>
  <c r="S10" s="1"/>
  <c r="P14"/>
  <c r="R14"/>
  <c r="O14"/>
  <c r="Q14"/>
  <c r="P9"/>
  <c r="O9"/>
  <c r="Q9"/>
  <c r="R9"/>
  <c r="N9" s="1"/>
  <c r="S9" s="1"/>
  <c r="R13"/>
  <c r="Q13"/>
  <c r="P13"/>
  <c r="O13"/>
  <c r="P8"/>
  <c r="R8"/>
  <c r="R6" s="1"/>
  <c r="O8"/>
  <c r="Q8"/>
  <c r="N8" s="1"/>
  <c r="S8" s="1"/>
  <c r="P12"/>
  <c r="R12"/>
  <c r="O12"/>
  <c r="Q12"/>
  <c r="R11"/>
  <c r="Q11"/>
  <c r="P11"/>
  <c r="O11"/>
  <c r="N11" s="1"/>
  <c r="S11" s="1"/>
  <c r="R7"/>
  <c r="Q7"/>
  <c r="Q6" s="1"/>
  <c r="Q15" s="1"/>
  <c r="P7"/>
  <c r="P6" s="1"/>
  <c r="O7"/>
  <c r="O6" s="1"/>
  <c r="M6"/>
  <c r="H21" i="21"/>
  <c r="F21"/>
  <c r="W20" l="1"/>
  <c r="AH20"/>
  <c r="X20"/>
  <c r="D2" i="20"/>
  <c r="K17" i="21"/>
  <c r="K16"/>
  <c r="N12" i="19"/>
  <c r="S12" s="1"/>
  <c r="N13"/>
  <c r="S13" s="1"/>
  <c r="N14"/>
  <c r="S14" s="1"/>
  <c r="N6"/>
  <c r="S6" s="1"/>
  <c r="N7"/>
  <c r="S7" s="1"/>
  <c r="O15"/>
  <c r="U4" i="21"/>
  <c r="U3"/>
  <c r="AK29" l="1"/>
  <c r="AM29"/>
  <c r="AL30"/>
  <c r="AN30"/>
  <c r="AP30"/>
  <c r="AK31"/>
  <c r="AM31"/>
  <c r="AO31"/>
  <c r="AL32"/>
  <c r="AN32"/>
  <c r="AP32"/>
  <c r="AK33"/>
  <c r="AM33"/>
  <c r="AO33"/>
  <c r="AL34"/>
  <c r="AN34"/>
  <c r="AP34"/>
  <c r="AL29"/>
  <c r="AN29"/>
  <c r="AK30"/>
  <c r="AM30"/>
  <c r="AO30"/>
  <c r="AL31"/>
  <c r="AN31"/>
  <c r="AP31"/>
  <c r="AK32"/>
  <c r="AM32"/>
  <c r="AO32"/>
  <c r="AL33"/>
  <c r="AN33"/>
  <c r="AP33"/>
  <c r="AK34"/>
  <c r="AM34"/>
  <c r="AO34"/>
  <c r="AX28"/>
  <c r="AZ28"/>
  <c r="BB28"/>
  <c r="BD28"/>
  <c r="BF28"/>
  <c r="BH28"/>
  <c r="AY29"/>
  <c r="BA29"/>
  <c r="BC29"/>
  <c r="BE29"/>
  <c r="BG29"/>
  <c r="AX30"/>
  <c r="AZ30"/>
  <c r="BB30"/>
  <c r="BD30"/>
  <c r="BF30"/>
  <c r="BH30"/>
  <c r="AY31"/>
  <c r="BA31"/>
  <c r="BC31"/>
  <c r="BE31"/>
  <c r="BG31"/>
  <c r="AX32"/>
  <c r="AZ32"/>
  <c r="BB32"/>
  <c r="BD32"/>
  <c r="BF32"/>
  <c r="BH32"/>
  <c r="AY33"/>
  <c r="BA33"/>
  <c r="BC33"/>
  <c r="BE33"/>
  <c r="BG33"/>
  <c r="AX34"/>
  <c r="AZ34"/>
  <c r="BB34"/>
  <c r="BD34"/>
  <c r="BF34"/>
  <c r="BH34"/>
  <c r="AW28"/>
  <c r="AW30"/>
  <c r="AW32"/>
  <c r="AW34"/>
  <c r="AY28"/>
  <c r="BA28"/>
  <c r="BC28"/>
  <c r="BE28"/>
  <c r="BG28"/>
  <c r="AX29"/>
  <c r="AZ29"/>
  <c r="BB29"/>
  <c r="BD29"/>
  <c r="BF29"/>
  <c r="BH29"/>
  <c r="AY30"/>
  <c r="BA30"/>
  <c r="BC30"/>
  <c r="BE30"/>
  <c r="BG30"/>
  <c r="AX31"/>
  <c r="AZ31"/>
  <c r="BB31"/>
  <c r="BD31"/>
  <c r="BF31"/>
  <c r="BH31"/>
  <c r="AY32"/>
  <c r="BA32"/>
  <c r="BC32"/>
  <c r="BE32"/>
  <c r="BG32"/>
  <c r="AX33"/>
  <c r="AZ33"/>
  <c r="BB33"/>
  <c r="BD33"/>
  <c r="BF33"/>
  <c r="BH33"/>
  <c r="AY34"/>
  <c r="BA34"/>
  <c r="BC34"/>
  <c r="BE34"/>
  <c r="BG34"/>
  <c r="AW29"/>
  <c r="AW31"/>
  <c r="AW33"/>
  <c r="Y29"/>
  <c r="AA29"/>
  <c r="Y30"/>
  <c r="AA30"/>
  <c r="AC30"/>
  <c r="Y31"/>
  <c r="AA31"/>
  <c r="AC31"/>
  <c r="Y32"/>
  <c r="AA32"/>
  <c r="AC32"/>
  <c r="Y33"/>
  <c r="AA33"/>
  <c r="AC33"/>
  <c r="Y34"/>
  <c r="AA34"/>
  <c r="AC34"/>
  <c r="X29"/>
  <c r="Z29"/>
  <c r="X30"/>
  <c r="Z30"/>
  <c r="AB30"/>
  <c r="X31"/>
  <c r="Z31"/>
  <c r="AB31"/>
  <c r="X32"/>
  <c r="Z32"/>
  <c r="AB32"/>
  <c r="X33"/>
  <c r="Z33"/>
  <c r="AB33"/>
  <c r="X34"/>
  <c r="Z34"/>
  <c r="AB34"/>
  <c r="V15"/>
  <c r="U15"/>
  <c r="L17"/>
  <c r="L16"/>
  <c r="AQ33" s="1"/>
  <c r="AD20"/>
  <c r="AA20"/>
  <c r="K71"/>
  <c r="BA27" s="1"/>
  <c r="J71"/>
  <c r="I71"/>
  <c r="J70"/>
  <c r="K70"/>
  <c r="I69"/>
  <c r="D38"/>
  <c r="AD34" l="1"/>
  <c r="AD32"/>
  <c r="AD30"/>
  <c r="AQ32"/>
  <c r="AQ31"/>
  <c r="AD33"/>
  <c r="AD31"/>
  <c r="AQ34"/>
  <c r="AQ30"/>
  <c r="AQ28"/>
  <c r="BB27"/>
  <c r="AX27"/>
  <c r="BC27"/>
  <c r="AY27"/>
  <c r="BD27"/>
  <c r="X28"/>
  <c r="AA28"/>
  <c r="AZ27"/>
  <c r="AK28"/>
  <c r="AN28"/>
  <c r="AD29"/>
  <c r="AQ29"/>
  <c r="AD28"/>
  <c r="X26"/>
  <c r="L33"/>
  <c r="L29"/>
  <c r="L32"/>
  <c r="L28"/>
  <c r="L30"/>
  <c r="AW26"/>
  <c r="AX26"/>
  <c r="AY26"/>
  <c r="AZ26"/>
  <c r="BA26"/>
  <c r="BB26"/>
  <c r="BD26"/>
  <c r="BC26"/>
  <c r="AK26"/>
  <c r="AK27"/>
  <c r="AN26"/>
  <c r="AN27"/>
  <c r="AA26"/>
  <c r="X27"/>
  <c r="AA27"/>
  <c r="AD26"/>
  <c r="AQ26"/>
  <c r="AQ27"/>
  <c r="AD27"/>
  <c r="D29"/>
  <c r="D33"/>
  <c r="D28"/>
  <c r="D30"/>
  <c r="D32"/>
  <c r="D34"/>
  <c r="E29"/>
  <c r="E34"/>
  <c r="E28"/>
  <c r="E30"/>
  <c r="E32"/>
  <c r="E33"/>
  <c r="K29"/>
  <c r="K32"/>
  <c r="K34"/>
  <c r="K28"/>
  <c r="K30"/>
  <c r="K33"/>
  <c r="H28"/>
  <c r="H30"/>
  <c r="H33"/>
  <c r="H29"/>
  <c r="H32"/>
  <c r="H34"/>
  <c r="M17"/>
  <c r="M16"/>
  <c r="AB20"/>
  <c r="AO27" s="1"/>
  <c r="AC20"/>
  <c r="AC26" s="1"/>
  <c r="Y20"/>
  <c r="AL26" s="1"/>
  <c r="C6" i="20"/>
  <c r="D3"/>
  <c r="N3" s="1"/>
  <c r="D9"/>
  <c r="N9" s="1"/>
  <c r="J69" i="21"/>
  <c r="K69"/>
  <c r="D6" i="20"/>
  <c r="N6" s="1"/>
  <c r="N2"/>
  <c r="M3"/>
  <c r="M4"/>
  <c r="M5"/>
  <c r="I8" i="19"/>
  <c r="I9"/>
  <c r="I10"/>
  <c r="I11"/>
  <c r="I12"/>
  <c r="I13"/>
  <c r="I14"/>
  <c r="I7"/>
  <c r="H8"/>
  <c r="H9"/>
  <c r="H10"/>
  <c r="H11"/>
  <c r="H12"/>
  <c r="H13"/>
  <c r="H14"/>
  <c r="J14" s="1"/>
  <c r="H7"/>
  <c r="J7" s="1"/>
  <c r="J13"/>
  <c r="J12"/>
  <c r="J11"/>
  <c r="J10"/>
  <c r="J9"/>
  <c r="J8"/>
  <c r="J5"/>
  <c r="J4"/>
  <c r="C4"/>
  <c r="D4" s="1"/>
  <c r="C5"/>
  <c r="D5" s="1"/>
  <c r="C7"/>
  <c r="C8"/>
  <c r="D8" s="1"/>
  <c r="C9"/>
  <c r="C10"/>
  <c r="D10" s="1"/>
  <c r="C11"/>
  <c r="C12"/>
  <c r="D12" s="1"/>
  <c r="C13"/>
  <c r="C14"/>
  <c r="D14" s="1"/>
  <c r="D3"/>
  <c r="AR30" i="21" l="1"/>
  <c r="AR34"/>
  <c r="AR31"/>
  <c r="AR32"/>
  <c r="AR33"/>
  <c r="AE30"/>
  <c r="AE31"/>
  <c r="AE32"/>
  <c r="AE33"/>
  <c r="AE34"/>
  <c r="AO28"/>
  <c r="AP28"/>
  <c r="AP29"/>
  <c r="AC28"/>
  <c r="AO29"/>
  <c r="AB28"/>
  <c r="AL28"/>
  <c r="Y28"/>
  <c r="AC29"/>
  <c r="AB29"/>
  <c r="BE26"/>
  <c r="BE27"/>
  <c r="AP26"/>
  <c r="AO26"/>
  <c r="AL27"/>
  <c r="Y27"/>
  <c r="AB26"/>
  <c r="Y26"/>
  <c r="AP27"/>
  <c r="AB27"/>
  <c r="AC27"/>
  <c r="N29"/>
  <c r="E50" s="1"/>
  <c r="G29"/>
  <c r="G33"/>
  <c r="G28"/>
  <c r="G30"/>
  <c r="G32"/>
  <c r="G34"/>
  <c r="J30"/>
  <c r="J33"/>
  <c r="J28"/>
  <c r="J29"/>
  <c r="J32"/>
  <c r="J34"/>
  <c r="D8" i="20"/>
  <c r="N8" s="1"/>
  <c r="D4"/>
  <c r="N4" s="1"/>
  <c r="D7"/>
  <c r="N7" s="1"/>
  <c r="L31" i="21"/>
  <c r="V12"/>
  <c r="U12"/>
  <c r="V8"/>
  <c r="U8"/>
  <c r="N17"/>
  <c r="N16"/>
  <c r="Y6" i="20"/>
  <c r="Y4"/>
  <c r="W4"/>
  <c r="W6"/>
  <c r="W3"/>
  <c r="Y2"/>
  <c r="Y5"/>
  <c r="Y3"/>
  <c r="O6"/>
  <c r="E6"/>
  <c r="O4"/>
  <c r="E4"/>
  <c r="O2"/>
  <c r="E2"/>
  <c r="E5"/>
  <c r="O5"/>
  <c r="O3"/>
  <c r="E3"/>
  <c r="AE20" i="21"/>
  <c r="AE26" s="1"/>
  <c r="M6" i="20"/>
  <c r="Q6" s="1"/>
  <c r="I6" i="19"/>
  <c r="I15" s="1"/>
  <c r="H6"/>
  <c r="E14"/>
  <c r="E12"/>
  <c r="E10"/>
  <c r="E8"/>
  <c r="E5"/>
  <c r="D13"/>
  <c r="E13" s="1"/>
  <c r="D11"/>
  <c r="E11" s="1"/>
  <c r="D9"/>
  <c r="E9" s="1"/>
  <c r="D7"/>
  <c r="E7" s="1"/>
  <c r="E3"/>
  <c r="Z20" i="21"/>
  <c r="V2" i="20"/>
  <c r="Q4"/>
  <c r="Q3"/>
  <c r="W16" i="21"/>
  <c r="V5" i="20"/>
  <c r="V3"/>
  <c r="V6"/>
  <c r="V4"/>
  <c r="E4" i="19"/>
  <c r="H15"/>
  <c r="J3"/>
  <c r="AS31" i="21" l="1"/>
  <c r="AS32"/>
  <c r="AS33"/>
  <c r="AS30"/>
  <c r="AS34"/>
  <c r="AF30"/>
  <c r="AF31"/>
  <c r="AF32"/>
  <c r="AF33"/>
  <c r="AF34"/>
  <c r="AR28"/>
  <c r="AR29"/>
  <c r="AM28"/>
  <c r="Z28"/>
  <c r="AE28"/>
  <c r="AE29"/>
  <c r="BF26"/>
  <c r="BF27"/>
  <c r="AE27"/>
  <c r="AR26"/>
  <c r="Z27"/>
  <c r="AM27"/>
  <c r="Z26"/>
  <c r="AM26"/>
  <c r="AR27"/>
  <c r="J27"/>
  <c r="K27"/>
  <c r="J31"/>
  <c r="K31"/>
  <c r="D27"/>
  <c r="G27"/>
  <c r="E27"/>
  <c r="H27"/>
  <c r="D31"/>
  <c r="G31"/>
  <c r="E31"/>
  <c r="H31"/>
  <c r="D10" i="20"/>
  <c r="N10" s="1"/>
  <c r="O17" i="21"/>
  <c r="O16"/>
  <c r="M29"/>
  <c r="D50" s="1"/>
  <c r="B6" i="20"/>
  <c r="L6" s="1"/>
  <c r="B5"/>
  <c r="L5" s="1"/>
  <c r="B4"/>
  <c r="L4" s="1"/>
  <c r="B3"/>
  <c r="L3" s="1"/>
  <c r="B2"/>
  <c r="L2" s="1"/>
  <c r="N34" i="21"/>
  <c r="E55" s="1"/>
  <c r="AF20"/>
  <c r="AF26" s="1"/>
  <c r="D5" i="20"/>
  <c r="N5" s="1"/>
  <c r="Q5" s="1"/>
  <c r="C7"/>
  <c r="Y7"/>
  <c r="J6" i="19"/>
  <c r="D6"/>
  <c r="D15" s="1"/>
  <c r="C15"/>
  <c r="M33" i="21"/>
  <c r="D54" s="1"/>
  <c r="M34"/>
  <c r="D55" s="1"/>
  <c r="G3" i="20"/>
  <c r="AA4"/>
  <c r="G6"/>
  <c r="Z5"/>
  <c r="P4"/>
  <c r="R4" s="1"/>
  <c r="P6"/>
  <c r="R6" s="1"/>
  <c r="S6" s="1"/>
  <c r="Z4"/>
  <c r="AA5"/>
  <c r="AB5" s="1"/>
  <c r="AC5" s="1"/>
  <c r="AA6"/>
  <c r="G4"/>
  <c r="Z3"/>
  <c r="P3"/>
  <c r="R3" s="1"/>
  <c r="P5"/>
  <c r="Z6"/>
  <c r="AA3"/>
  <c r="F4"/>
  <c r="F6"/>
  <c r="F3"/>
  <c r="F5"/>
  <c r="AT32" i="21" l="1"/>
  <c r="AT33"/>
  <c r="AG30"/>
  <c r="AG32"/>
  <c r="AG34"/>
  <c r="AT30"/>
  <c r="AT34"/>
  <c r="AT31"/>
  <c r="AG31"/>
  <c r="AG33"/>
  <c r="AS28"/>
  <c r="AS29"/>
  <c r="AF28"/>
  <c r="AF29"/>
  <c r="BG26"/>
  <c r="BG27"/>
  <c r="AF27"/>
  <c r="AS26"/>
  <c r="AS27"/>
  <c r="D11" i="20"/>
  <c r="N11" s="1"/>
  <c r="P17" i="21"/>
  <c r="BH27" s="1"/>
  <c r="P16"/>
  <c r="E7" i="20"/>
  <c r="O7"/>
  <c r="W7"/>
  <c r="AG20" i="21"/>
  <c r="AG26" s="1"/>
  <c r="AB4" i="20"/>
  <c r="AC4" s="1"/>
  <c r="V7"/>
  <c r="R5"/>
  <c r="S5" s="1"/>
  <c r="G5"/>
  <c r="H5" s="1"/>
  <c r="I5" s="1"/>
  <c r="G7"/>
  <c r="Y8"/>
  <c r="C8"/>
  <c r="E6" i="19"/>
  <c r="AB3" i="20"/>
  <c r="AC3" s="1"/>
  <c r="N33" i="21"/>
  <c r="E54" s="1"/>
  <c r="H6" i="20"/>
  <c r="I6" s="1"/>
  <c r="H3"/>
  <c r="I3" s="1"/>
  <c r="AB6"/>
  <c r="AC6" s="1"/>
  <c r="H4"/>
  <c r="I4" s="1"/>
  <c r="S4"/>
  <c r="S3"/>
  <c r="AU33" i="21" l="1"/>
  <c r="AU30"/>
  <c r="AU34"/>
  <c r="AH30"/>
  <c r="AH32"/>
  <c r="AH34"/>
  <c r="AU31"/>
  <c r="AU32"/>
  <c r="AH31"/>
  <c r="AH33"/>
  <c r="AG28"/>
  <c r="AT29"/>
  <c r="AT28"/>
  <c r="AG29"/>
  <c r="AU29"/>
  <c r="AH29"/>
  <c r="AU28"/>
  <c r="AH28"/>
  <c r="AG27"/>
  <c r="AT26"/>
  <c r="AT27"/>
  <c r="AH26"/>
  <c r="AU26"/>
  <c r="AU27"/>
  <c r="AH27"/>
  <c r="BH26"/>
  <c r="D12" i="20"/>
  <c r="N12" s="1"/>
  <c r="O8"/>
  <c r="E8"/>
  <c r="W8"/>
  <c r="Z8" s="1"/>
  <c r="B7"/>
  <c r="L7" s="1"/>
  <c r="D13"/>
  <c r="N13" s="1"/>
  <c r="V8"/>
  <c r="M8"/>
  <c r="M7"/>
  <c r="F7"/>
  <c r="Z7"/>
  <c r="AA7"/>
  <c r="Y9"/>
  <c r="C9"/>
  <c r="E9" l="1"/>
  <c r="O9"/>
  <c r="W9"/>
  <c r="AA9" s="1"/>
  <c r="B8"/>
  <c r="L8" s="1"/>
  <c r="M30" i="21"/>
  <c r="D51" s="1"/>
  <c r="N30"/>
  <c r="E51" s="1"/>
  <c r="B9" i="20"/>
  <c r="L9" s="1"/>
  <c r="V9"/>
  <c r="H7"/>
  <c r="I7" s="1"/>
  <c r="G8"/>
  <c r="AA8"/>
  <c r="AB8" s="1"/>
  <c r="AC8" s="1"/>
  <c r="AB7"/>
  <c r="AC7" s="1"/>
  <c r="M9"/>
  <c r="Q7"/>
  <c r="P7"/>
  <c r="F8"/>
  <c r="Y10"/>
  <c r="C10"/>
  <c r="Q8"/>
  <c r="P8"/>
  <c r="O10" l="1"/>
  <c r="E10"/>
  <c r="W10"/>
  <c r="M31" i="21"/>
  <c r="D52" s="1"/>
  <c r="N31"/>
  <c r="E52" s="1"/>
  <c r="N27"/>
  <c r="E48" s="1"/>
  <c r="M27"/>
  <c r="D48" s="1"/>
  <c r="H8" i="20"/>
  <c r="I8" s="1"/>
  <c r="V10"/>
  <c r="Z9"/>
  <c r="AB9" s="1"/>
  <c r="AC9" s="1"/>
  <c r="F9"/>
  <c r="M10"/>
  <c r="P10" s="1"/>
  <c r="G9"/>
  <c r="R7"/>
  <c r="S7" s="1"/>
  <c r="Q9"/>
  <c r="P9"/>
  <c r="R8"/>
  <c r="S8" s="1"/>
  <c r="Y11"/>
  <c r="C11"/>
  <c r="U7" i="21"/>
  <c r="G26" s="1"/>
  <c r="V7"/>
  <c r="E11" i="20" l="1"/>
  <c r="O11"/>
  <c r="W11"/>
  <c r="AA11" s="1"/>
  <c r="B10"/>
  <c r="L10" s="1"/>
  <c r="Q10"/>
  <c r="R10" s="1"/>
  <c r="V11"/>
  <c r="H9"/>
  <c r="I9" s="1"/>
  <c r="F10"/>
  <c r="G10"/>
  <c r="G11"/>
  <c r="AA10"/>
  <c r="Z10"/>
  <c r="R9"/>
  <c r="S9" s="1"/>
  <c r="Y12"/>
  <c r="E26" i="21"/>
  <c r="H26"/>
  <c r="D26"/>
  <c r="K26"/>
  <c r="J26"/>
  <c r="O12" i="20" l="1"/>
  <c r="E12"/>
  <c r="C12"/>
  <c r="W12"/>
  <c r="B11"/>
  <c r="L11" s="1"/>
  <c r="Z11"/>
  <c r="AB11" s="1"/>
  <c r="AC11" s="1"/>
  <c r="B12"/>
  <c r="L12" s="1"/>
  <c r="V12"/>
  <c r="N26" i="21"/>
  <c r="E47" s="1"/>
  <c r="M26"/>
  <c r="D47" s="1"/>
  <c r="H10" i="20"/>
  <c r="I10" s="1"/>
  <c r="M11"/>
  <c r="AB10"/>
  <c r="AC10" s="1"/>
  <c r="F11"/>
  <c r="H11" s="1"/>
  <c r="I11" s="1"/>
  <c r="F12"/>
  <c r="Y13"/>
  <c r="L34" i="21"/>
  <c r="S10" i="20"/>
  <c r="C59" i="8"/>
  <c r="C37"/>
  <c r="C83"/>
  <c r="C82"/>
  <c r="C81"/>
  <c r="C79"/>
  <c r="C78"/>
  <c r="C77"/>
  <c r="C75"/>
  <c r="C74"/>
  <c r="C73"/>
  <c r="G83"/>
  <c r="G82"/>
  <c r="G81"/>
  <c r="G79"/>
  <c r="E78"/>
  <c r="G78" s="1"/>
  <c r="E77"/>
  <c r="G77" s="1"/>
  <c r="G75"/>
  <c r="G74"/>
  <c r="G73"/>
  <c r="R10"/>
  <c r="G59"/>
  <c r="E56"/>
  <c r="E55"/>
  <c r="C51"/>
  <c r="G51" s="1"/>
  <c r="G37"/>
  <c r="E34"/>
  <c r="E33"/>
  <c r="C33"/>
  <c r="C55" s="1"/>
  <c r="G55" s="1"/>
  <c r="C29"/>
  <c r="G29" s="1"/>
  <c r="T15"/>
  <c r="S15"/>
  <c r="R15"/>
  <c r="T14"/>
  <c r="S14"/>
  <c r="R14"/>
  <c r="T13"/>
  <c r="S13"/>
  <c r="R13"/>
  <c r="T12"/>
  <c r="S12"/>
  <c r="R12"/>
  <c r="G12"/>
  <c r="C60"/>
  <c r="G60" s="1"/>
  <c r="T11"/>
  <c r="S11"/>
  <c r="R11"/>
  <c r="G11"/>
  <c r="T10"/>
  <c r="S10"/>
  <c r="G9"/>
  <c r="C57"/>
  <c r="G57" s="1"/>
  <c r="E8"/>
  <c r="E7"/>
  <c r="G7" s="1"/>
  <c r="G5"/>
  <c r="G4"/>
  <c r="G3"/>
  <c r="C13" i="7"/>
  <c r="C39" s="1"/>
  <c r="G39" s="1"/>
  <c r="C12"/>
  <c r="C83" s="1"/>
  <c r="G83" s="1"/>
  <c r="C9"/>
  <c r="C8"/>
  <c r="C5"/>
  <c r="C31" s="1"/>
  <c r="G31" s="1"/>
  <c r="C4"/>
  <c r="C52" s="1"/>
  <c r="G52" s="1"/>
  <c r="C84"/>
  <c r="G84" s="1"/>
  <c r="C81"/>
  <c r="G81" s="1"/>
  <c r="E80"/>
  <c r="C80"/>
  <c r="G80" s="1"/>
  <c r="C78"/>
  <c r="G78" s="1"/>
  <c r="C77"/>
  <c r="G77" s="1"/>
  <c r="C61"/>
  <c r="G61" s="1"/>
  <c r="G59"/>
  <c r="C57"/>
  <c r="G57" s="1"/>
  <c r="E56"/>
  <c r="C56"/>
  <c r="E55"/>
  <c r="C51"/>
  <c r="G51" s="1"/>
  <c r="G37"/>
  <c r="C35"/>
  <c r="G35" s="1"/>
  <c r="E34"/>
  <c r="C34"/>
  <c r="G34" s="1"/>
  <c r="E33"/>
  <c r="C33"/>
  <c r="C55" s="1"/>
  <c r="G55" s="1"/>
  <c r="C30"/>
  <c r="G30" s="1"/>
  <c r="C29"/>
  <c r="G29" s="1"/>
  <c r="T15"/>
  <c r="S15"/>
  <c r="R15"/>
  <c r="T14"/>
  <c r="S14"/>
  <c r="R14"/>
  <c r="T13"/>
  <c r="S13"/>
  <c r="R13"/>
  <c r="T12"/>
  <c r="S12"/>
  <c r="R12"/>
  <c r="T11"/>
  <c r="S11"/>
  <c r="R11"/>
  <c r="G11"/>
  <c r="T10"/>
  <c r="S10"/>
  <c r="R10"/>
  <c r="G9"/>
  <c r="E8"/>
  <c r="E7"/>
  <c r="G7" s="1"/>
  <c r="G4"/>
  <c r="G3"/>
  <c r="E13" i="20" l="1"/>
  <c r="D36" i="21" s="1"/>
  <c r="O13" i="20"/>
  <c r="G36" i="21" s="1"/>
  <c r="C13" i="20"/>
  <c r="W13"/>
  <c r="AA13" s="1"/>
  <c r="V13"/>
  <c r="B13"/>
  <c r="L13" s="1"/>
  <c r="J35" i="21"/>
  <c r="K35"/>
  <c r="P11" i="20"/>
  <c r="Q11"/>
  <c r="M13"/>
  <c r="G12"/>
  <c r="H12" s="1"/>
  <c r="I12" s="1"/>
  <c r="M12"/>
  <c r="L26" i="21"/>
  <c r="AA12" i="20"/>
  <c r="Z12"/>
  <c r="M32" i="21"/>
  <c r="D53" s="1"/>
  <c r="H35"/>
  <c r="I3" i="8"/>
  <c r="K5" s="1"/>
  <c r="M5" s="1"/>
  <c r="I77"/>
  <c r="I81"/>
  <c r="I73"/>
  <c r="G8"/>
  <c r="I7" s="1"/>
  <c r="C30"/>
  <c r="G30" s="1"/>
  <c r="I29" s="1"/>
  <c r="C31"/>
  <c r="G31" s="1"/>
  <c r="G33"/>
  <c r="C34"/>
  <c r="G34" s="1"/>
  <c r="C52"/>
  <c r="G52" s="1"/>
  <c r="C53"/>
  <c r="G53" s="1"/>
  <c r="C56"/>
  <c r="G56" s="1"/>
  <c r="I55" s="1"/>
  <c r="G13"/>
  <c r="I11" s="1"/>
  <c r="C35"/>
  <c r="G35" s="1"/>
  <c r="C38"/>
  <c r="G38" s="1"/>
  <c r="C39"/>
  <c r="G39" s="1"/>
  <c r="C61"/>
  <c r="G61" s="1"/>
  <c r="I59" s="1"/>
  <c r="G56" i="7"/>
  <c r="I55" s="1"/>
  <c r="K57" s="1"/>
  <c r="M57" s="1"/>
  <c r="G13"/>
  <c r="I83"/>
  <c r="K84" s="1"/>
  <c r="M84" s="1"/>
  <c r="G12"/>
  <c r="I11" s="1"/>
  <c r="C38"/>
  <c r="G38" s="1"/>
  <c r="I37" s="1"/>
  <c r="K39" s="1"/>
  <c r="M39" s="1"/>
  <c r="C60"/>
  <c r="G60" s="1"/>
  <c r="I59" s="1"/>
  <c r="K61" s="1"/>
  <c r="M61" s="1"/>
  <c r="G8"/>
  <c r="I7" s="1"/>
  <c r="C53"/>
  <c r="G53" s="1"/>
  <c r="I51" s="1"/>
  <c r="K53" s="1"/>
  <c r="M53" s="1"/>
  <c r="I80"/>
  <c r="K81" s="1"/>
  <c r="M81" s="1"/>
  <c r="G5"/>
  <c r="I3" s="1"/>
  <c r="K5" s="1"/>
  <c r="I77"/>
  <c r="K78" s="1"/>
  <c r="M78" s="1"/>
  <c r="I29"/>
  <c r="K31" s="1"/>
  <c r="M31" s="1"/>
  <c r="G33"/>
  <c r="I33" s="1"/>
  <c r="K35" s="1"/>
  <c r="M35" s="1"/>
  <c r="G37" i="21" l="1"/>
  <c r="D35"/>
  <c r="E35"/>
  <c r="M28"/>
  <c r="M35" s="1"/>
  <c r="N28"/>
  <c r="E49" s="1"/>
  <c r="G35"/>
  <c r="J36"/>
  <c r="G13" i="20"/>
  <c r="N32" i="21"/>
  <c r="E53" s="1"/>
  <c r="F13" i="20"/>
  <c r="R11"/>
  <c r="S11" s="1"/>
  <c r="Z13"/>
  <c r="Q12"/>
  <c r="P12"/>
  <c r="Q13"/>
  <c r="P13"/>
  <c r="AB12"/>
  <c r="AC12" s="1"/>
  <c r="O5" i="8"/>
  <c r="K61"/>
  <c r="M61" s="1"/>
  <c r="O61"/>
  <c r="K13"/>
  <c r="M13" s="1"/>
  <c r="O13"/>
  <c r="K57"/>
  <c r="M57" s="1"/>
  <c r="O57"/>
  <c r="K31"/>
  <c r="O31"/>
  <c r="K83"/>
  <c r="M83" s="1"/>
  <c r="O83"/>
  <c r="K75"/>
  <c r="O75"/>
  <c r="K79"/>
  <c r="M79" s="1"/>
  <c r="O79"/>
  <c r="K9"/>
  <c r="K16" s="1"/>
  <c r="O9"/>
  <c r="K86"/>
  <c r="M75"/>
  <c r="I37"/>
  <c r="I51"/>
  <c r="M31"/>
  <c r="I33"/>
  <c r="K13" i="7"/>
  <c r="M13" s="1"/>
  <c r="K9"/>
  <c r="M9" s="1"/>
  <c r="M5"/>
  <c r="K90"/>
  <c r="M90" s="1"/>
  <c r="K87"/>
  <c r="M87" s="1"/>
  <c r="K64"/>
  <c r="K67" s="1"/>
  <c r="M67" s="1"/>
  <c r="K42"/>
  <c r="D49" i="21" l="1"/>
  <c r="M36"/>
  <c r="D57" s="1"/>
  <c r="E56"/>
  <c r="P31"/>
  <c r="P29"/>
  <c r="G53"/>
  <c r="G47"/>
  <c r="D56"/>
  <c r="N35"/>
  <c r="J37"/>
  <c r="AB13" i="20"/>
  <c r="AC13" s="1"/>
  <c r="H13"/>
  <c r="I13" s="1"/>
  <c r="R13"/>
  <c r="S13" s="1"/>
  <c r="R12"/>
  <c r="S12" s="1"/>
  <c r="P32" i="21"/>
  <c r="P26"/>
  <c r="M9" i="8"/>
  <c r="K53"/>
  <c r="M53" s="1"/>
  <c r="O53"/>
  <c r="K39"/>
  <c r="M39" s="1"/>
  <c r="O39"/>
  <c r="K35"/>
  <c r="M35" s="1"/>
  <c r="O35"/>
  <c r="K89"/>
  <c r="M89" s="1"/>
  <c r="M86"/>
  <c r="K19"/>
  <c r="M19" s="1"/>
  <c r="M16"/>
  <c r="K16" i="7"/>
  <c r="M64"/>
  <c r="K45"/>
  <c r="M45" s="1"/>
  <c r="M42"/>
  <c r="K19"/>
  <c r="M19" s="1"/>
  <c r="M16"/>
  <c r="M37" i="21" l="1"/>
  <c r="P33"/>
  <c r="P34"/>
  <c r="K42" i="8"/>
  <c r="K64"/>
  <c r="K67" s="1"/>
  <c r="M67" s="1"/>
  <c r="K45"/>
  <c r="M45" s="1"/>
  <c r="M42"/>
  <c r="G84" i="4"/>
  <c r="C84"/>
  <c r="C83"/>
  <c r="G83" s="1"/>
  <c r="I83" s="1"/>
  <c r="K84" s="1"/>
  <c r="M84" s="1"/>
  <c r="C81"/>
  <c r="G81" s="1"/>
  <c r="E80"/>
  <c r="C80"/>
  <c r="G80" s="1"/>
  <c r="I80" s="1"/>
  <c r="K81" s="1"/>
  <c r="M81" s="1"/>
  <c r="C78"/>
  <c r="G78" s="1"/>
  <c r="G77"/>
  <c r="I77" s="1"/>
  <c r="K78" s="1"/>
  <c r="C77"/>
  <c r="G61"/>
  <c r="C61"/>
  <c r="G60"/>
  <c r="C60"/>
  <c r="C59"/>
  <c r="G59" s="1"/>
  <c r="I59" s="1"/>
  <c r="K61" s="1"/>
  <c r="M61" s="1"/>
  <c r="C57"/>
  <c r="G57" s="1"/>
  <c r="E56"/>
  <c r="C56"/>
  <c r="G56" s="1"/>
  <c r="E55"/>
  <c r="C55"/>
  <c r="G55" s="1"/>
  <c r="I55" s="1"/>
  <c r="K57" s="1"/>
  <c r="M57" s="1"/>
  <c r="G53"/>
  <c r="C53"/>
  <c r="G52"/>
  <c r="C52"/>
  <c r="C51"/>
  <c r="G51" s="1"/>
  <c r="I51" s="1"/>
  <c r="K53" s="1"/>
  <c r="C39"/>
  <c r="G39" s="1"/>
  <c r="C38"/>
  <c r="G38" s="1"/>
  <c r="G37"/>
  <c r="C37"/>
  <c r="G35"/>
  <c r="C35"/>
  <c r="E34"/>
  <c r="C34"/>
  <c r="G34" s="1"/>
  <c r="E33"/>
  <c r="C33"/>
  <c r="G33" s="1"/>
  <c r="I33" s="1"/>
  <c r="K35" s="1"/>
  <c r="M35" s="1"/>
  <c r="C31"/>
  <c r="G31" s="1"/>
  <c r="C30"/>
  <c r="G30" s="1"/>
  <c r="G29"/>
  <c r="C29"/>
  <c r="G13"/>
  <c r="G12"/>
  <c r="G11"/>
  <c r="I11" s="1"/>
  <c r="K13" s="1"/>
  <c r="M13" s="1"/>
  <c r="G9"/>
  <c r="E8"/>
  <c r="G8" s="1"/>
  <c r="E7"/>
  <c r="G7" s="1"/>
  <c r="G5"/>
  <c r="G4"/>
  <c r="G3"/>
  <c r="C55" i="3"/>
  <c r="C33"/>
  <c r="C51"/>
  <c r="C84"/>
  <c r="G84" s="1"/>
  <c r="G83"/>
  <c r="I83" s="1"/>
  <c r="K84" s="1"/>
  <c r="M84" s="1"/>
  <c r="C83"/>
  <c r="C81"/>
  <c r="G81" s="1"/>
  <c r="E80"/>
  <c r="C80"/>
  <c r="G80" s="1"/>
  <c r="C78"/>
  <c r="G78" s="1"/>
  <c r="C77"/>
  <c r="G77" s="1"/>
  <c r="C61"/>
  <c r="G61" s="1"/>
  <c r="C60"/>
  <c r="G60" s="1"/>
  <c r="G59"/>
  <c r="C57"/>
  <c r="G57" s="1"/>
  <c r="E56"/>
  <c r="C56"/>
  <c r="E55"/>
  <c r="G55" s="1"/>
  <c r="C53"/>
  <c r="G53" s="1"/>
  <c r="C52"/>
  <c r="G52" s="1"/>
  <c r="G51"/>
  <c r="C39"/>
  <c r="G39" s="1"/>
  <c r="C38"/>
  <c r="G38" s="1"/>
  <c r="G37"/>
  <c r="C35"/>
  <c r="G35" s="1"/>
  <c r="E34"/>
  <c r="C34"/>
  <c r="E33"/>
  <c r="G33" s="1"/>
  <c r="C31"/>
  <c r="G31" s="1"/>
  <c r="C30"/>
  <c r="G30" s="1"/>
  <c r="C29"/>
  <c r="G29" s="1"/>
  <c r="G13"/>
  <c r="G12"/>
  <c r="G11"/>
  <c r="I11" s="1"/>
  <c r="K13" s="1"/>
  <c r="M13" s="1"/>
  <c r="G9"/>
  <c r="E8"/>
  <c r="G8" s="1"/>
  <c r="G7"/>
  <c r="E7"/>
  <c r="G5"/>
  <c r="G4"/>
  <c r="G3"/>
  <c r="M64" i="8" l="1"/>
  <c r="I3" i="4"/>
  <c r="K5" s="1"/>
  <c r="M5" s="1"/>
  <c r="I7"/>
  <c r="K9" s="1"/>
  <c r="M9" s="1"/>
  <c r="I29"/>
  <c r="K31" s="1"/>
  <c r="I37"/>
  <c r="K39" s="1"/>
  <c r="M39" s="1"/>
  <c r="K64"/>
  <c r="M53"/>
  <c r="K87"/>
  <c r="M78"/>
  <c r="I7" i="3"/>
  <c r="K9" s="1"/>
  <c r="M9" s="1"/>
  <c r="I77"/>
  <c r="K78" s="1"/>
  <c r="K90" s="1"/>
  <c r="M90" s="1"/>
  <c r="G34"/>
  <c r="G56"/>
  <c r="I55" s="1"/>
  <c r="K57" s="1"/>
  <c r="M57" s="1"/>
  <c r="I80"/>
  <c r="K81" s="1"/>
  <c r="M81" s="1"/>
  <c r="I3"/>
  <c r="K5" s="1"/>
  <c r="M5" s="1"/>
  <c r="I33"/>
  <c r="K35" s="1"/>
  <c r="M35" s="1"/>
  <c r="I37"/>
  <c r="K39" s="1"/>
  <c r="M39" s="1"/>
  <c r="I59"/>
  <c r="K61" s="1"/>
  <c r="M61" s="1"/>
  <c r="K87"/>
  <c r="M87" s="1"/>
  <c r="I29"/>
  <c r="K31" s="1"/>
  <c r="I51"/>
  <c r="K53" s="1"/>
  <c r="C29" i="1"/>
  <c r="E80"/>
  <c r="E56"/>
  <c r="E34"/>
  <c r="E8"/>
  <c r="G8" s="1"/>
  <c r="C81"/>
  <c r="C80"/>
  <c r="G81"/>
  <c r="C84"/>
  <c r="G84" s="1"/>
  <c r="C83"/>
  <c r="G83" s="1"/>
  <c r="C78"/>
  <c r="G78" s="1"/>
  <c r="C77"/>
  <c r="G77" s="1"/>
  <c r="C61"/>
  <c r="C60"/>
  <c r="C57"/>
  <c r="C56"/>
  <c r="C53"/>
  <c r="G53" s="1"/>
  <c r="C52"/>
  <c r="G52" s="1"/>
  <c r="C39"/>
  <c r="C38"/>
  <c r="G38" s="1"/>
  <c r="C35"/>
  <c r="C34"/>
  <c r="C31"/>
  <c r="G31" s="1"/>
  <c r="C30"/>
  <c r="G61"/>
  <c r="G60"/>
  <c r="G59"/>
  <c r="G57"/>
  <c r="E55"/>
  <c r="G55" s="1"/>
  <c r="G51"/>
  <c r="G39"/>
  <c r="G37"/>
  <c r="G35"/>
  <c r="E33"/>
  <c r="G33" s="1"/>
  <c r="G30"/>
  <c r="G29"/>
  <c r="E7"/>
  <c r="G7" s="1"/>
  <c r="G13"/>
  <c r="G12"/>
  <c r="G11"/>
  <c r="G9"/>
  <c r="G5"/>
  <c r="G4"/>
  <c r="G3"/>
  <c r="T52" i="21" l="1"/>
  <c r="T53"/>
  <c r="T51"/>
  <c r="T50"/>
  <c r="X48"/>
  <c r="X57" s="1"/>
  <c r="V48"/>
  <c r="V57" s="1"/>
  <c r="W48"/>
  <c r="W57" s="1"/>
  <c r="T56"/>
  <c r="T54"/>
  <c r="T55"/>
  <c r="K16" i="4"/>
  <c r="K90"/>
  <c r="M90" s="1"/>
  <c r="M87"/>
  <c r="K67"/>
  <c r="M67" s="1"/>
  <c r="M64"/>
  <c r="M31"/>
  <c r="K42"/>
  <c r="M78" i="3"/>
  <c r="K16"/>
  <c r="M16" s="1"/>
  <c r="K64"/>
  <c r="M53"/>
  <c r="K42"/>
  <c r="M31"/>
  <c r="G80" i="1"/>
  <c r="I80" s="1"/>
  <c r="K81" s="1"/>
  <c r="M81" s="1"/>
  <c r="I83"/>
  <c r="K84" s="1"/>
  <c r="M84" s="1"/>
  <c r="G34"/>
  <c r="I77"/>
  <c r="K78" s="1"/>
  <c r="M78" s="1"/>
  <c r="I3"/>
  <c r="K5" s="1"/>
  <c r="M5" s="1"/>
  <c r="I7"/>
  <c r="K9" s="1"/>
  <c r="M9" s="1"/>
  <c r="I29"/>
  <c r="K31" s="1"/>
  <c r="M31" s="1"/>
  <c r="G56"/>
  <c r="I55" s="1"/>
  <c r="K57" s="1"/>
  <c r="M57" s="1"/>
  <c r="I51"/>
  <c r="K53" s="1"/>
  <c r="M53" s="1"/>
  <c r="I59"/>
  <c r="K61" s="1"/>
  <c r="M61" s="1"/>
  <c r="I37"/>
  <c r="K39" s="1"/>
  <c r="M39" s="1"/>
  <c r="I33"/>
  <c r="K35" s="1"/>
  <c r="M35" s="1"/>
  <c r="I11"/>
  <c r="K13" s="1"/>
  <c r="M13" s="1"/>
  <c r="T49" i="21" l="1"/>
  <c r="T48"/>
  <c r="M42" i="4"/>
  <c r="K45"/>
  <c r="M45" s="1"/>
  <c r="K19"/>
  <c r="M19" s="1"/>
  <c r="M16"/>
  <c r="K19" i="3"/>
  <c r="M19" s="1"/>
  <c r="K45"/>
  <c r="M45" s="1"/>
  <c r="M42"/>
  <c r="K67"/>
  <c r="M67" s="1"/>
  <c r="M64"/>
  <c r="K87" i="1"/>
  <c r="M87" s="1"/>
  <c r="K90"/>
  <c r="M90" s="1"/>
  <c r="K16"/>
  <c r="K19" s="1"/>
  <c r="M19" s="1"/>
  <c r="K64"/>
  <c r="M64" s="1"/>
  <c r="K42"/>
  <c r="K45" s="1"/>
  <c r="M45" s="1"/>
  <c r="T57" i="21" l="1"/>
  <c r="K67" i="1"/>
  <c r="M67" s="1"/>
  <c r="M16"/>
  <c r="M42"/>
  <c r="D37" i="21"/>
  <c r="P15" i="19" l="1"/>
  <c r="N15"/>
  <c r="R15"/>
  <c r="E17" i="21"/>
  <c r="AW27" s="1"/>
  <c r="L27" s="1"/>
  <c r="L35" s="1"/>
  <c r="E16"/>
  <c r="AJ30" l="1"/>
  <c r="I30" s="1"/>
  <c r="AJ34"/>
  <c r="I34" s="1"/>
  <c r="AJ31"/>
  <c r="I31" s="1"/>
  <c r="AJ32"/>
  <c r="I32" s="1"/>
  <c r="AJ29"/>
  <c r="I29" s="1"/>
  <c r="AJ33"/>
  <c r="I33" s="1"/>
  <c r="W30"/>
  <c r="F30" s="1"/>
  <c r="O30" s="1"/>
  <c r="W31"/>
  <c r="F31" s="1"/>
  <c r="O31" s="1"/>
  <c r="F52" s="1"/>
  <c r="G52" s="1"/>
  <c r="W32"/>
  <c r="F32" s="1"/>
  <c r="W33"/>
  <c r="F33" s="1"/>
  <c r="O33" s="1"/>
  <c r="F54" s="1"/>
  <c r="G54" s="1"/>
  <c r="W34"/>
  <c r="F34" s="1"/>
  <c r="O34" s="1"/>
  <c r="F55" s="1"/>
  <c r="G55" s="1"/>
  <c r="W29"/>
  <c r="F29" s="1"/>
  <c r="O29" s="1"/>
  <c r="F50" s="1"/>
  <c r="G50" s="1"/>
  <c r="W27"/>
  <c r="F27" s="1"/>
  <c r="AJ26"/>
  <c r="I26" s="1"/>
  <c r="W26"/>
  <c r="F26" s="1"/>
  <c r="W28"/>
  <c r="F28" s="1"/>
  <c r="AJ28"/>
  <c r="I28" s="1"/>
  <c r="C2" i="20"/>
  <c r="AJ27" i="21"/>
  <c r="I27" s="1"/>
  <c r="W2" i="20"/>
  <c r="O32" i="21" l="1"/>
  <c r="F53" s="1"/>
  <c r="P30"/>
  <c r="F51"/>
  <c r="G51" s="1"/>
  <c r="O26"/>
  <c r="F47" s="1"/>
  <c r="I35"/>
  <c r="Z2" i="20"/>
  <c r="AA2"/>
  <c r="L36" i="21" s="1"/>
  <c r="L37" s="1"/>
  <c r="G2" i="20"/>
  <c r="F36" i="21" s="1"/>
  <c r="M2" i="20"/>
  <c r="F2"/>
  <c r="O28" i="21"/>
  <c r="O27"/>
  <c r="F35"/>
  <c r="O35" l="1"/>
  <c r="P27"/>
  <c r="F48"/>
  <c r="E36"/>
  <c r="H2" i="20"/>
  <c r="I2"/>
  <c r="I14" s="1"/>
  <c r="F40" i="21" s="1"/>
  <c r="F37"/>
  <c r="AB2" i="20"/>
  <c r="AC2" s="1"/>
  <c r="AC14" s="1"/>
  <c r="L40" i="21" s="1"/>
  <c r="K36"/>
  <c r="F49"/>
  <c r="G49" s="1"/>
  <c r="P28"/>
  <c r="P2" i="20"/>
  <c r="Q2"/>
  <c r="I36" i="21" s="1"/>
  <c r="I37" s="1"/>
  <c r="G48" l="1"/>
  <c r="F56"/>
  <c r="G56" s="1"/>
  <c r="G59" s="1"/>
  <c r="R2" i="20"/>
  <c r="S2" s="1"/>
  <c r="S14" s="1"/>
  <c r="I40" i="21" s="1"/>
  <c r="P40" s="1"/>
  <c r="H36"/>
  <c r="N36" s="1"/>
  <c r="L38"/>
  <c r="L39" s="1"/>
  <c r="K37"/>
  <c r="E37"/>
  <c r="F38"/>
  <c r="F39" s="1"/>
  <c r="O36"/>
  <c r="F57" s="1"/>
  <c r="P35"/>
  <c r="P47" l="1"/>
  <c r="N46"/>
  <c r="H56"/>
  <c r="P46"/>
  <c r="N47"/>
  <c r="N45"/>
  <c r="M45"/>
  <c r="O45"/>
  <c r="O47"/>
  <c r="L44"/>
  <c r="O46"/>
  <c r="H59"/>
  <c r="P45"/>
  <c r="M47"/>
  <c r="L47" s="1"/>
  <c r="M46"/>
  <c r="K55"/>
  <c r="K54"/>
  <c r="K56"/>
  <c r="K49"/>
  <c r="K50"/>
  <c r="K51"/>
  <c r="K53"/>
  <c r="K52"/>
  <c r="O125"/>
  <c r="P36"/>
  <c r="N37"/>
  <c r="E57"/>
  <c r="G57" s="1"/>
  <c r="G60" s="1"/>
  <c r="H60" s="1"/>
  <c r="O37"/>
  <c r="H37"/>
  <c r="I38"/>
  <c r="I39" s="1"/>
  <c r="Q28" s="1"/>
  <c r="R28" s="1"/>
  <c r="P37"/>
  <c r="L46" l="1"/>
  <c r="K48"/>
  <c r="K57" s="1"/>
  <c r="M53"/>
  <c r="P53"/>
  <c r="O53"/>
  <c r="N53"/>
  <c r="P50"/>
  <c r="N50"/>
  <c r="M50"/>
  <c r="O50"/>
  <c r="M56"/>
  <c r="O56"/>
  <c r="P56"/>
  <c r="N56"/>
  <c r="M55"/>
  <c r="N55"/>
  <c r="O55"/>
  <c r="P55"/>
  <c r="H57"/>
  <c r="P52"/>
  <c r="N52"/>
  <c r="M52"/>
  <c r="O52"/>
  <c r="O51"/>
  <c r="P51"/>
  <c r="M51"/>
  <c r="N51"/>
  <c r="M49"/>
  <c r="P49"/>
  <c r="O49"/>
  <c r="N49"/>
  <c r="M54"/>
  <c r="O54"/>
  <c r="P54"/>
  <c r="N54"/>
  <c r="P48"/>
  <c r="P57" s="1"/>
  <c r="L45"/>
  <c r="Q30"/>
  <c r="R30" s="1"/>
  <c r="Q33"/>
  <c r="R33" s="1"/>
  <c r="P39"/>
  <c r="G58" s="1"/>
  <c r="Q34"/>
  <c r="R34" s="1"/>
  <c r="Q27"/>
  <c r="R27" s="1"/>
  <c r="Q26"/>
  <c r="Q31"/>
  <c r="R31" s="1"/>
  <c r="Q32"/>
  <c r="R32" s="1"/>
  <c r="Q29"/>
  <c r="R29" s="1"/>
  <c r="M48" l="1"/>
  <c r="L49"/>
  <c r="L50"/>
  <c r="L56"/>
  <c r="L53"/>
  <c r="L54"/>
  <c r="O48"/>
  <c r="O57" s="1"/>
  <c r="L51"/>
  <c r="L52"/>
  <c r="L55"/>
  <c r="M57"/>
  <c r="N48"/>
  <c r="N57" s="1"/>
  <c r="Q35"/>
  <c r="R26"/>
  <c r="R35" s="1"/>
  <c r="R36" s="1"/>
  <c r="L48" l="1"/>
  <c r="L57" s="1"/>
</calcChain>
</file>

<file path=xl/sharedStrings.xml><?xml version="1.0" encoding="utf-8"?>
<sst xmlns="http://schemas.openxmlformats.org/spreadsheetml/2006/main" count="1839" uniqueCount="202">
  <si>
    <t>通常</t>
    <rPh sb="0" eb="2">
      <t>ツウジョウ</t>
    </rPh>
    <phoneticPr fontId="3"/>
  </si>
  <si>
    <t>医療保険分</t>
    <rPh sb="0" eb="2">
      <t>イリョウ</t>
    </rPh>
    <rPh sb="2" eb="4">
      <t>ホケン</t>
    </rPh>
    <rPh sb="4" eb="5">
      <t>ブン</t>
    </rPh>
    <phoneticPr fontId="3"/>
  </si>
  <si>
    <t>所得割</t>
    <rPh sb="0" eb="2">
      <t>ショトク</t>
    </rPh>
    <rPh sb="2" eb="3">
      <t>ワリ</t>
    </rPh>
    <phoneticPr fontId="3"/>
  </si>
  <si>
    <t>％</t>
  </si>
  <si>
    <t>円</t>
    <rPh sb="0" eb="1">
      <t>エン</t>
    </rPh>
    <phoneticPr fontId="3"/>
  </si>
  <si>
    <t>医療分のみ</t>
    <rPh sb="0" eb="2">
      <t>イリョウ</t>
    </rPh>
    <rPh sb="2" eb="3">
      <t>ブン</t>
    </rPh>
    <phoneticPr fontId="3"/>
  </si>
  <si>
    <t>均等割</t>
    <rPh sb="0" eb="3">
      <t>キントウワ</t>
    </rPh>
    <phoneticPr fontId="3"/>
  </si>
  <si>
    <t>人</t>
    <rPh sb="0" eb="1">
      <t>ニン</t>
    </rPh>
    <phoneticPr fontId="3"/>
  </si>
  <si>
    <t>年間</t>
    <rPh sb="0" eb="2">
      <t>ネンカン</t>
    </rPh>
    <phoneticPr fontId="3"/>
  </si>
  <si>
    <t>月額</t>
    <rPh sb="0" eb="2">
      <t>ゲツガク</t>
    </rPh>
    <phoneticPr fontId="3"/>
  </si>
  <si>
    <t>平等割</t>
    <rPh sb="0" eb="2">
      <t>ビョウドウ</t>
    </rPh>
    <rPh sb="2" eb="3">
      <t>ワリ</t>
    </rPh>
    <phoneticPr fontId="3"/>
  </si>
  <si>
    <t>長寿医療支援金分</t>
    <rPh sb="0" eb="2">
      <t>チョウジュ</t>
    </rPh>
    <rPh sb="2" eb="4">
      <t>イリョウ</t>
    </rPh>
    <rPh sb="4" eb="6">
      <t>シエン</t>
    </rPh>
    <rPh sb="6" eb="7">
      <t>キン</t>
    </rPh>
    <rPh sb="7" eb="8">
      <t>ブン</t>
    </rPh>
    <phoneticPr fontId="3"/>
  </si>
  <si>
    <t>支援金等のみ</t>
    <rPh sb="0" eb="2">
      <t>シエン</t>
    </rPh>
    <rPh sb="2" eb="3">
      <t>キン</t>
    </rPh>
    <rPh sb="3" eb="4">
      <t>ナド</t>
    </rPh>
    <phoneticPr fontId="3"/>
  </si>
  <si>
    <t>介護保険分</t>
    <rPh sb="0" eb="2">
      <t>カイゴ</t>
    </rPh>
    <rPh sb="2" eb="4">
      <t>ホケン</t>
    </rPh>
    <rPh sb="4" eb="5">
      <t>ブン</t>
    </rPh>
    <phoneticPr fontId="3"/>
  </si>
  <si>
    <t>介護分のみ</t>
    <rPh sb="0" eb="2">
      <t>カイゴ</t>
    </rPh>
    <rPh sb="2" eb="3">
      <t>ブン</t>
    </rPh>
    <phoneticPr fontId="3"/>
  </si>
  <si>
    <t>医療・支援金等分のみ</t>
    <rPh sb="0" eb="2">
      <t>イリョウ</t>
    </rPh>
    <rPh sb="3" eb="6">
      <t>シエンキン</t>
    </rPh>
    <rPh sb="6" eb="7">
      <t>ナド</t>
    </rPh>
    <rPh sb="7" eb="8">
      <t>ブン</t>
    </rPh>
    <phoneticPr fontId="3"/>
  </si>
  <si>
    <t>2割軽減該当</t>
    <rPh sb="1" eb="2">
      <t>ワリ</t>
    </rPh>
    <rPh sb="2" eb="4">
      <t>ケイゲン</t>
    </rPh>
    <rPh sb="4" eb="6">
      <t>ガイトウ</t>
    </rPh>
    <phoneticPr fontId="3"/>
  </si>
  <si>
    <t>5割軽減該当</t>
    <rPh sb="1" eb="2">
      <t>ワリ</t>
    </rPh>
    <rPh sb="2" eb="4">
      <t>ケイゲン</t>
    </rPh>
    <rPh sb="4" eb="6">
      <t>ガイトウ</t>
    </rPh>
    <phoneticPr fontId="3"/>
  </si>
  <si>
    <t>7割軽減該当</t>
    <rPh sb="1" eb="2">
      <t>ワリ</t>
    </rPh>
    <rPh sb="2" eb="4">
      <t>ケイゲン</t>
    </rPh>
    <rPh sb="4" eb="6">
      <t>ガイトウ</t>
    </rPh>
    <phoneticPr fontId="3"/>
  </si>
  <si>
    <t>円</t>
  </si>
  <si>
    <t>医療限度額　５１万円</t>
    <rPh sb="0" eb="2">
      <t>イリョウ</t>
    </rPh>
    <rPh sb="2" eb="4">
      <t>ゲンド</t>
    </rPh>
    <rPh sb="4" eb="5">
      <t>ガク</t>
    </rPh>
    <rPh sb="8" eb="10">
      <t>マンエン</t>
    </rPh>
    <phoneticPr fontId="3"/>
  </si>
  <si>
    <t>支援限度額　１４万円</t>
    <rPh sb="0" eb="2">
      <t>シエン</t>
    </rPh>
    <rPh sb="2" eb="4">
      <t>ゲンド</t>
    </rPh>
    <rPh sb="4" eb="5">
      <t>ガク</t>
    </rPh>
    <rPh sb="8" eb="10">
      <t>マンエン</t>
    </rPh>
    <phoneticPr fontId="3"/>
  </si>
  <si>
    <t>介護限度額　１２万円</t>
    <rPh sb="0" eb="2">
      <t>カイゴ</t>
    </rPh>
    <rPh sb="2" eb="4">
      <t>ゲンド</t>
    </rPh>
    <rPh sb="4" eb="5">
      <t>ガク</t>
    </rPh>
    <rPh sb="8" eb="10">
      <t>マンエン</t>
    </rPh>
    <phoneticPr fontId="3"/>
  </si>
  <si>
    <t>支援限度額　１6万円</t>
    <rPh sb="0" eb="2">
      <t>シエン</t>
    </rPh>
    <rPh sb="2" eb="4">
      <t>ゲンド</t>
    </rPh>
    <rPh sb="4" eb="5">
      <t>ガク</t>
    </rPh>
    <rPh sb="8" eb="10">
      <t>マンエン</t>
    </rPh>
    <phoneticPr fontId="3"/>
  </si>
  <si>
    <t>介護限度額　１4万円</t>
    <rPh sb="0" eb="2">
      <t>カイゴ</t>
    </rPh>
    <rPh sb="2" eb="4">
      <t>ゲンド</t>
    </rPh>
    <rPh sb="4" eb="5">
      <t>ガク</t>
    </rPh>
    <rPh sb="8" eb="10">
      <t>マンエン</t>
    </rPh>
    <phoneticPr fontId="3"/>
  </si>
  <si>
    <t>％</t>
    <phoneticPr fontId="3"/>
  </si>
  <si>
    <t>医療・支援金・介護</t>
    <rPh sb="0" eb="2">
      <t>イリョウ</t>
    </rPh>
    <rPh sb="3" eb="6">
      <t>シエンキン</t>
    </rPh>
    <rPh sb="7" eb="9">
      <t>カイゴ</t>
    </rPh>
    <phoneticPr fontId="3"/>
  </si>
  <si>
    <t>医療限度額　52万円</t>
    <rPh sb="0" eb="2">
      <t>イリョウ</t>
    </rPh>
    <rPh sb="2" eb="4">
      <t>ゲンド</t>
    </rPh>
    <rPh sb="4" eb="5">
      <t>ガク</t>
    </rPh>
    <rPh sb="8" eb="10">
      <t>マンエン</t>
    </rPh>
    <phoneticPr fontId="3"/>
  </si>
  <si>
    <t>支援限度額　１7万円</t>
    <rPh sb="0" eb="2">
      <t>シエン</t>
    </rPh>
    <rPh sb="2" eb="4">
      <t>ゲンド</t>
    </rPh>
    <rPh sb="4" eb="5">
      <t>ガク</t>
    </rPh>
    <rPh sb="8" eb="10">
      <t>マンエン</t>
    </rPh>
    <phoneticPr fontId="3"/>
  </si>
  <si>
    <t>介護限度額　１6万円</t>
    <rPh sb="0" eb="2">
      <t>カイゴ</t>
    </rPh>
    <rPh sb="2" eb="4">
      <t>ゲンド</t>
    </rPh>
    <rPh sb="4" eb="5">
      <t>ガク</t>
    </rPh>
    <rPh sb="8" eb="10">
      <t>マンエン</t>
    </rPh>
    <phoneticPr fontId="3"/>
  </si>
  <si>
    <t>後期高齢者支援金等分</t>
    <rPh sb="0" eb="2">
      <t>コウキ</t>
    </rPh>
    <rPh sb="2" eb="5">
      <t>コウレイシャ</t>
    </rPh>
    <rPh sb="5" eb="8">
      <t>シエンキン</t>
    </rPh>
    <rPh sb="8" eb="10">
      <t>トウブン</t>
    </rPh>
    <phoneticPr fontId="3"/>
  </si>
  <si>
    <t>通常</t>
    <rPh sb="0" eb="2">
      <t>ツウジョウ</t>
    </rPh>
    <phoneticPr fontId="1"/>
  </si>
  <si>
    <t>7割軽減</t>
    <rPh sb="1" eb="2">
      <t>ワリ</t>
    </rPh>
    <rPh sb="2" eb="4">
      <t>ケイゲン</t>
    </rPh>
    <phoneticPr fontId="1"/>
  </si>
  <si>
    <t>5割軽減</t>
    <rPh sb="1" eb="2">
      <t>ワリ</t>
    </rPh>
    <rPh sb="2" eb="4">
      <t>ケイゲン</t>
    </rPh>
    <phoneticPr fontId="1"/>
  </si>
  <si>
    <t>2割軽減</t>
    <rPh sb="1" eb="2">
      <t>ワリ</t>
    </rPh>
    <rPh sb="2" eb="4">
      <t>ケイゲン</t>
    </rPh>
    <phoneticPr fontId="1"/>
  </si>
  <si>
    <t>支援金等分のみ</t>
    <rPh sb="0" eb="2">
      <t>シエン</t>
    </rPh>
    <rPh sb="2" eb="3">
      <t>キン</t>
    </rPh>
    <rPh sb="3" eb="4">
      <t>ナド</t>
    </rPh>
    <rPh sb="4" eb="5">
      <t>ブン</t>
    </rPh>
    <phoneticPr fontId="3"/>
  </si>
  <si>
    <t>医療・支援金等・介護</t>
    <rPh sb="0" eb="2">
      <t>イリョウ</t>
    </rPh>
    <rPh sb="3" eb="6">
      <t>シエンキン</t>
    </rPh>
    <rPh sb="6" eb="7">
      <t>ナド</t>
    </rPh>
    <rPh sb="8" eb="10">
      <t>カイゴ</t>
    </rPh>
    <phoneticPr fontId="3"/>
  </si>
  <si>
    <t>医療限度額　54万円</t>
    <rPh sb="0" eb="2">
      <t>イリョウ</t>
    </rPh>
    <rPh sb="2" eb="4">
      <t>ゲンド</t>
    </rPh>
    <rPh sb="4" eb="5">
      <t>ガク</t>
    </rPh>
    <rPh sb="8" eb="10">
      <t>マンエン</t>
    </rPh>
    <phoneticPr fontId="3"/>
  </si>
  <si>
    <t>支援限度額　１9万円</t>
    <rPh sb="0" eb="2">
      <t>シエン</t>
    </rPh>
    <rPh sb="2" eb="4">
      <t>ゲンド</t>
    </rPh>
    <rPh sb="4" eb="5">
      <t>ガク</t>
    </rPh>
    <rPh sb="8" eb="10">
      <t>マンエン</t>
    </rPh>
    <phoneticPr fontId="3"/>
  </si>
  <si>
    <t>40歳～64歳の方がいない世帯</t>
    <rPh sb="2" eb="3">
      <t>サイ</t>
    </rPh>
    <rPh sb="6" eb="7">
      <t>サイ</t>
    </rPh>
    <rPh sb="8" eb="9">
      <t>カタ</t>
    </rPh>
    <rPh sb="13" eb="15">
      <t>セタイ</t>
    </rPh>
    <phoneticPr fontId="1"/>
  </si>
  <si>
    <t>40歳～64歳の方がいる世帯</t>
    <rPh sb="2" eb="3">
      <t>サイ</t>
    </rPh>
    <rPh sb="6" eb="7">
      <t>サイ</t>
    </rPh>
    <rPh sb="8" eb="9">
      <t>カタ</t>
    </rPh>
    <rPh sb="12" eb="14">
      <t>セタイ</t>
    </rPh>
    <phoneticPr fontId="1"/>
  </si>
  <si>
    <t>医療</t>
    <rPh sb="0" eb="2">
      <t>イリョウ</t>
    </rPh>
    <phoneticPr fontId="1"/>
  </si>
  <si>
    <t>支援</t>
    <rPh sb="0" eb="2">
      <t>シエン</t>
    </rPh>
    <phoneticPr fontId="1"/>
  </si>
  <si>
    <t>介護</t>
    <rPh sb="0" eb="2">
      <t>カイゴ</t>
    </rPh>
    <phoneticPr fontId="1"/>
  </si>
  <si>
    <t>所得割対象額</t>
    <rPh sb="0" eb="2">
      <t>ショトク</t>
    </rPh>
    <rPh sb="2" eb="3">
      <t>ワリ</t>
    </rPh>
    <rPh sb="3" eb="5">
      <t>タイショウ</t>
    </rPh>
    <rPh sb="5" eb="6">
      <t>ガク</t>
    </rPh>
    <phoneticPr fontId="1"/>
  </si>
  <si>
    <t>被保険者数</t>
    <rPh sb="0" eb="4">
      <t>ヒホケンシャ</t>
    </rPh>
    <rPh sb="4" eb="5">
      <t>スウ</t>
    </rPh>
    <phoneticPr fontId="1"/>
  </si>
  <si>
    <t>平等割軽減区分</t>
    <rPh sb="0" eb="2">
      <t>ビョウドウ</t>
    </rPh>
    <rPh sb="2" eb="3">
      <t>ワリ</t>
    </rPh>
    <rPh sb="3" eb="5">
      <t>ケイゲン</t>
    </rPh>
    <rPh sb="5" eb="7">
      <t>クブン</t>
    </rPh>
    <phoneticPr fontId="1"/>
  </si>
  <si>
    <t>所得割額</t>
    <rPh sb="0" eb="2">
      <t>ショトク</t>
    </rPh>
    <rPh sb="2" eb="3">
      <t>ワリ</t>
    </rPh>
    <rPh sb="3" eb="4">
      <t>ガク</t>
    </rPh>
    <phoneticPr fontId="1"/>
  </si>
  <si>
    <t>平等割額</t>
    <rPh sb="0" eb="2">
      <t>ビョウドウ</t>
    </rPh>
    <rPh sb="2" eb="3">
      <t>ワリ</t>
    </rPh>
    <rPh sb="3" eb="4">
      <t>ガク</t>
    </rPh>
    <phoneticPr fontId="1"/>
  </si>
  <si>
    <t>均等割額</t>
    <rPh sb="0" eb="3">
      <t>キントウワ</t>
    </rPh>
    <rPh sb="3" eb="4">
      <t>ガク</t>
    </rPh>
    <phoneticPr fontId="1"/>
  </si>
  <si>
    <t>限度超過額</t>
    <rPh sb="0" eb="2">
      <t>ゲンド</t>
    </rPh>
    <rPh sb="2" eb="4">
      <t>チョウカ</t>
    </rPh>
    <rPh sb="4" eb="5">
      <t>ガク</t>
    </rPh>
    <phoneticPr fontId="1"/>
  </si>
  <si>
    <t>算定額</t>
    <rPh sb="0" eb="2">
      <t>サンテイ</t>
    </rPh>
    <rPh sb="2" eb="3">
      <t>ガク</t>
    </rPh>
    <phoneticPr fontId="1"/>
  </si>
  <si>
    <r>
      <rPr>
        <b/>
        <sz val="10"/>
        <color theme="1"/>
        <rFont val="ＭＳ Ｐゴシック"/>
        <family val="3"/>
        <charset val="128"/>
      </rPr>
      <t>相当額</t>
    </r>
    <r>
      <rPr>
        <sz val="10"/>
        <color theme="1"/>
        <rFont val="ＭＳ Ｐゴシック"/>
        <family val="3"/>
        <charset val="128"/>
      </rPr>
      <t>の計</t>
    </r>
    <rPh sb="0" eb="2">
      <t>ソウトウ</t>
    </rPh>
    <rPh sb="2" eb="3">
      <t>ガク</t>
    </rPh>
    <rPh sb="4" eb="5">
      <t>ケイ</t>
    </rPh>
    <phoneticPr fontId="1"/>
  </si>
  <si>
    <t>↑各人の所得毎に計算し、合算。合計所得で計算ではないので注意。</t>
    <rPh sb="1" eb="3">
      <t>カクジン</t>
    </rPh>
    <rPh sb="4" eb="6">
      <t>ショトク</t>
    </rPh>
    <rPh sb="6" eb="7">
      <t>ゴト</t>
    </rPh>
    <rPh sb="8" eb="10">
      <t>ケイサン</t>
    </rPh>
    <rPh sb="12" eb="14">
      <t>ガッサン</t>
    </rPh>
    <rPh sb="15" eb="17">
      <t>ゴウケイ</t>
    </rPh>
    <rPh sb="17" eb="19">
      <t>ショトク</t>
    </rPh>
    <rPh sb="20" eb="22">
      <t>ケイサン</t>
    </rPh>
    <rPh sb="28" eb="30">
      <t>チュウイ</t>
    </rPh>
    <phoneticPr fontId="1"/>
  </si>
  <si>
    <t>期別</t>
    <rPh sb="0" eb="1">
      <t>キ</t>
    </rPh>
    <rPh sb="1" eb="2">
      <t>ベツ</t>
    </rPh>
    <phoneticPr fontId="1"/>
  </si>
  <si>
    <t>期別額</t>
    <rPh sb="0" eb="1">
      <t>キ</t>
    </rPh>
    <rPh sb="1" eb="2">
      <t>ベツ</t>
    </rPh>
    <rPh sb="2" eb="3">
      <t>ガク</t>
    </rPh>
    <phoneticPr fontId="1"/>
  </si>
  <si>
    <t>A内訳</t>
    <rPh sb="1" eb="3">
      <t>ウチワケ</t>
    </rPh>
    <phoneticPr fontId="1"/>
  </si>
  <si>
    <t>B内訳</t>
    <rPh sb="1" eb="3">
      <t>ウチワケ</t>
    </rPh>
    <phoneticPr fontId="1"/>
  </si>
  <si>
    <t>※A内訳4期で、全体の端数を調整。</t>
    <rPh sb="2" eb="4">
      <t>ウチワケ</t>
    </rPh>
    <rPh sb="5" eb="6">
      <t>キ</t>
    </rPh>
    <rPh sb="8" eb="10">
      <t>ゼンタイ</t>
    </rPh>
    <rPh sb="11" eb="13">
      <t>ハスウ</t>
    </rPh>
    <rPh sb="14" eb="16">
      <t>チョウセイ</t>
    </rPh>
    <phoneticPr fontId="1"/>
  </si>
  <si>
    <t>C内訳</t>
    <rPh sb="1" eb="3">
      <t>ウチワケ</t>
    </rPh>
    <phoneticPr fontId="1"/>
  </si>
  <si>
    <t>D内訳</t>
    <rPh sb="1" eb="3">
      <t>ウチワケ</t>
    </rPh>
    <phoneticPr fontId="1"/>
  </si>
  <si>
    <t>E内訳</t>
    <rPh sb="1" eb="3">
      <t>ウチワケ</t>
    </rPh>
    <phoneticPr fontId="1"/>
  </si>
  <si>
    <t>※4期で端数を調整。</t>
    <rPh sb="2" eb="3">
      <t>キ</t>
    </rPh>
    <rPh sb="4" eb="6">
      <t>ハスウ</t>
    </rPh>
    <rPh sb="7" eb="9">
      <t>チョウセイ</t>
    </rPh>
    <phoneticPr fontId="1"/>
  </si>
  <si>
    <t>納付額</t>
    <rPh sb="0" eb="2">
      <t>ノウフ</t>
    </rPh>
    <rPh sb="2" eb="3">
      <t>ガク</t>
    </rPh>
    <phoneticPr fontId="1"/>
  </si>
  <si>
    <t>年度</t>
    <rPh sb="0" eb="2">
      <t>ネンド</t>
    </rPh>
    <phoneticPr fontId="1"/>
  </si>
  <si>
    <t>Ａ</t>
    <phoneticPr fontId="1"/>
  </si>
  <si>
    <t>Ｂ</t>
    <phoneticPr fontId="1"/>
  </si>
  <si>
    <t>Ｃ</t>
    <phoneticPr fontId="1"/>
  </si>
  <si>
    <t>Ｄ</t>
    <phoneticPr fontId="1"/>
  </si>
  <si>
    <t>Ｅ</t>
    <phoneticPr fontId="1"/>
  </si>
  <si>
    <t>第１年度</t>
    <rPh sb="0" eb="1">
      <t>ダイ</t>
    </rPh>
    <rPh sb="2" eb="4">
      <t>ネンド</t>
    </rPh>
    <phoneticPr fontId="1"/>
  </si>
  <si>
    <t>第２年度</t>
    <rPh sb="0" eb="1">
      <t>ダイ</t>
    </rPh>
    <rPh sb="2" eb="4">
      <t>ネンド</t>
    </rPh>
    <phoneticPr fontId="1"/>
  </si>
  <si>
    <t>第３年度</t>
    <rPh sb="0" eb="1">
      <t>ダイ</t>
    </rPh>
    <rPh sb="2" eb="4">
      <t>ネンド</t>
    </rPh>
    <phoneticPr fontId="1"/>
  </si>
  <si>
    <t>第４年度</t>
    <rPh sb="0" eb="1">
      <t>ダイ</t>
    </rPh>
    <rPh sb="2" eb="4">
      <t>ネンド</t>
    </rPh>
    <phoneticPr fontId="1"/>
  </si>
  <si>
    <t>第５年度</t>
    <rPh sb="0" eb="1">
      <t>ダイ</t>
    </rPh>
    <rPh sb="2" eb="4">
      <t>ネンド</t>
    </rPh>
    <phoneticPr fontId="1"/>
  </si>
  <si>
    <r>
      <rPr>
        <sz val="10"/>
        <color theme="1"/>
        <rFont val="ＭＳ Ｐゴシック"/>
        <family val="3"/>
        <charset val="128"/>
      </rPr>
      <t>年度判定</t>
    </r>
    <rPh sb="0" eb="2">
      <t>ネンド</t>
    </rPh>
    <rPh sb="2" eb="4">
      <t>ハンテイ</t>
    </rPh>
    <phoneticPr fontId="1"/>
  </si>
  <si>
    <r>
      <rPr>
        <b/>
        <sz val="10"/>
        <color theme="1"/>
        <rFont val="ＭＳ Ｐゴシック"/>
        <family val="3"/>
        <charset val="128"/>
      </rPr>
      <t>←年度を選択</t>
    </r>
    <rPh sb="1" eb="3">
      <t>ネンド</t>
    </rPh>
    <rPh sb="4" eb="6">
      <t>センタク</t>
    </rPh>
    <phoneticPr fontId="1"/>
  </si>
  <si>
    <r>
      <rPr>
        <sz val="10"/>
        <color theme="1"/>
        <rFont val="ＭＳ Ｐゴシック"/>
        <family val="3"/>
        <charset val="128"/>
      </rPr>
      <t>軽減判定</t>
    </r>
    <rPh sb="0" eb="2">
      <t>ケイゲン</t>
    </rPh>
    <rPh sb="2" eb="4">
      <t>ハンテイ</t>
    </rPh>
    <phoneticPr fontId="1"/>
  </si>
  <si>
    <r>
      <rPr>
        <b/>
        <sz val="10"/>
        <color theme="1"/>
        <rFont val="ＭＳ Ｐゴシック"/>
        <family val="3"/>
        <charset val="128"/>
      </rPr>
      <t>←軽減判定区分を選択</t>
    </r>
    <rPh sb="1" eb="3">
      <t>ケイゲン</t>
    </rPh>
    <rPh sb="3" eb="5">
      <t>ハンテイ</t>
    </rPh>
    <rPh sb="5" eb="7">
      <t>クブン</t>
    </rPh>
    <rPh sb="8" eb="10">
      <t>センタク</t>
    </rPh>
    <phoneticPr fontId="1"/>
  </si>
  <si>
    <r>
      <t>-33</t>
    </r>
    <r>
      <rPr>
        <b/>
        <sz val="10"/>
        <color theme="1"/>
        <rFont val="ＭＳ Ｐゴシック"/>
        <family val="3"/>
        <charset val="128"/>
      </rPr>
      <t>万した後の所得↓</t>
    </r>
    <rPh sb="3" eb="4">
      <t>マン</t>
    </rPh>
    <rPh sb="6" eb="7">
      <t>アト</t>
    </rPh>
    <rPh sb="8" eb="10">
      <t>ショトク</t>
    </rPh>
    <phoneticPr fontId="1"/>
  </si>
  <si>
    <r>
      <rPr>
        <b/>
        <sz val="10"/>
        <color theme="1"/>
        <rFont val="ＭＳ Ｐゴシック"/>
        <family val="3"/>
        <charset val="128"/>
      </rPr>
      <t>非加入は</t>
    </r>
    <rPh sb="0" eb="1">
      <t>ヒ</t>
    </rPh>
    <rPh sb="1" eb="3">
      <t>カニュウ</t>
    </rPh>
    <phoneticPr fontId="1"/>
  </si>
  <si>
    <r>
      <rPr>
        <b/>
        <sz val="10"/>
        <color theme="1"/>
        <rFont val="ＭＳ Ｐゴシック"/>
        <family val="3"/>
        <charset val="128"/>
      </rPr>
      <t>加入なら</t>
    </r>
    <rPh sb="0" eb="2">
      <t>カニュウ</t>
    </rPh>
    <phoneticPr fontId="1"/>
  </si>
  <si>
    <r>
      <rPr>
        <b/>
        <sz val="10"/>
        <color theme="1"/>
        <rFont val="ＭＳ Ｐゴシック"/>
        <family val="3"/>
        <charset val="128"/>
      </rPr>
      <t>介護該当は</t>
    </r>
    <rPh sb="0" eb="2">
      <t>カイゴ</t>
    </rPh>
    <rPh sb="2" eb="4">
      <t>ガイトウ</t>
    </rPh>
    <phoneticPr fontId="1"/>
  </si>
  <si>
    <r>
      <rPr>
        <b/>
        <sz val="10"/>
        <color theme="1"/>
        <rFont val="ＭＳ Ｐゴシック"/>
        <family val="3"/>
        <charset val="128"/>
      </rPr>
      <t>月ごとの加入状況↓</t>
    </r>
    <rPh sb="0" eb="1">
      <t>ツキ</t>
    </rPh>
    <rPh sb="4" eb="6">
      <t>カニュウ</t>
    </rPh>
    <rPh sb="6" eb="8">
      <t>ジョウキョウ</t>
    </rPh>
    <phoneticPr fontId="1"/>
  </si>
  <si>
    <r>
      <rPr>
        <sz val="10"/>
        <color theme="1"/>
        <rFont val="ＭＳ Ｐゴシック"/>
        <family val="3"/>
        <charset val="128"/>
      </rPr>
      <t>所得</t>
    </r>
    <rPh sb="0" eb="2">
      <t>ショトク</t>
    </rPh>
    <phoneticPr fontId="1"/>
  </si>
  <si>
    <r>
      <rPr>
        <sz val="10"/>
        <color theme="1"/>
        <rFont val="ＭＳ Ｐゴシック"/>
        <family val="3"/>
        <charset val="128"/>
      </rPr>
      <t>介護</t>
    </r>
    <rPh sb="0" eb="2">
      <t>カイゴ</t>
    </rPh>
    <phoneticPr fontId="1"/>
  </si>
  <si>
    <r>
      <rPr>
        <sz val="10"/>
        <color theme="1"/>
        <rFont val="ＭＳ Ｐゴシック"/>
        <family val="3"/>
        <charset val="128"/>
      </rPr>
      <t>加入者</t>
    </r>
    <rPh sb="0" eb="3">
      <t>カニュウシャ</t>
    </rPh>
    <phoneticPr fontId="1"/>
  </si>
  <si>
    <r>
      <rPr>
        <sz val="10"/>
        <color theme="1"/>
        <rFont val="ＭＳ Ｐゴシック"/>
        <family val="3"/>
        <charset val="128"/>
      </rPr>
      <t>加入月数</t>
    </r>
    <rPh sb="0" eb="2">
      <t>カニュウ</t>
    </rPh>
    <rPh sb="2" eb="4">
      <t>ツキスウ</t>
    </rPh>
    <phoneticPr fontId="1"/>
  </si>
  <si>
    <r>
      <rPr>
        <sz val="10"/>
        <color theme="1"/>
        <rFont val="ＭＳ Ｐゴシック"/>
        <family val="3"/>
        <charset val="128"/>
      </rPr>
      <t>介護月数</t>
    </r>
    <rPh sb="0" eb="2">
      <t>カイゴ</t>
    </rPh>
    <rPh sb="2" eb="4">
      <t>ツキスウ</t>
    </rPh>
    <phoneticPr fontId="1"/>
  </si>
  <si>
    <r>
      <rPr>
        <sz val="10"/>
        <color theme="1"/>
        <rFont val="ＭＳ Ｐゴシック"/>
        <family val="3"/>
        <charset val="128"/>
      </rPr>
      <t>Ｂ</t>
    </r>
    <phoneticPr fontId="1"/>
  </si>
  <si>
    <r>
      <rPr>
        <sz val="10"/>
        <color theme="1"/>
        <rFont val="ＭＳ Ｐゴシック"/>
        <family val="3"/>
        <charset val="128"/>
      </rPr>
      <t>Ｃ</t>
    </r>
    <phoneticPr fontId="1"/>
  </si>
  <si>
    <r>
      <rPr>
        <sz val="10"/>
        <color theme="1"/>
        <rFont val="ＭＳ Ｐゴシック"/>
        <family val="3"/>
        <charset val="128"/>
      </rPr>
      <t>Ｄ</t>
    </r>
    <phoneticPr fontId="1"/>
  </si>
  <si>
    <t>E</t>
    <phoneticPr fontId="1"/>
  </si>
  <si>
    <t>F</t>
    <phoneticPr fontId="1"/>
  </si>
  <si>
    <t>G</t>
    <phoneticPr fontId="1"/>
  </si>
  <si>
    <t>H</t>
    <phoneticPr fontId="1"/>
  </si>
  <si>
    <t>I</t>
    <phoneticPr fontId="1"/>
  </si>
  <si>
    <r>
      <rPr>
        <sz val="10"/>
        <color theme="1"/>
        <rFont val="ＭＳ Ｐゴシック"/>
        <family val="3"/>
        <charset val="128"/>
      </rPr>
      <t>人数判定</t>
    </r>
    <rPh sb="0" eb="2">
      <t>ニンズウ</t>
    </rPh>
    <rPh sb="2" eb="4">
      <t>ハンテイ</t>
    </rPh>
    <phoneticPr fontId="1"/>
  </si>
  <si>
    <r>
      <rPr>
        <sz val="10"/>
        <color theme="1"/>
        <rFont val="ＭＳ Ｐゴシック"/>
        <family val="3"/>
        <charset val="128"/>
      </rPr>
      <t>医療・支援</t>
    </r>
    <rPh sb="0" eb="2">
      <t>イリョウ</t>
    </rPh>
    <rPh sb="3" eb="5">
      <t>シエン</t>
    </rPh>
    <phoneticPr fontId="1"/>
  </si>
  <si>
    <t>&gt;0</t>
    <phoneticPr fontId="1"/>
  </si>
  <si>
    <r>
      <rPr>
        <sz val="10"/>
        <color theme="1"/>
        <rFont val="ＭＳ Ｐゴシック"/>
        <family val="3"/>
        <charset val="128"/>
      </rPr>
      <t>特定同一</t>
    </r>
    <rPh sb="0" eb="2">
      <t>トクテイ</t>
    </rPh>
    <rPh sb="2" eb="4">
      <t>ドウイツ</t>
    </rPh>
    <phoneticPr fontId="1"/>
  </si>
  <si>
    <r>
      <rPr>
        <b/>
        <sz val="10"/>
        <color theme="1"/>
        <rFont val="ＭＳ Ｐゴシック"/>
        <family val="3"/>
        <charset val="128"/>
      </rPr>
      <t>軽減率を選択↓</t>
    </r>
    <rPh sb="0" eb="2">
      <t>ケイゲン</t>
    </rPh>
    <rPh sb="2" eb="3">
      <t>リツ</t>
    </rPh>
    <rPh sb="4" eb="6">
      <t>センタク</t>
    </rPh>
    <phoneticPr fontId="1"/>
  </si>
  <si>
    <r>
      <rPr>
        <b/>
        <sz val="10"/>
        <color theme="1"/>
        <rFont val="ＭＳ Ｐゴシック"/>
        <family val="3"/>
        <charset val="128"/>
      </rPr>
      <t>↑該当月に</t>
    </r>
    <rPh sb="1" eb="3">
      <t>ガイトウ</t>
    </rPh>
    <rPh sb="3" eb="4">
      <t>ツキ</t>
    </rPh>
    <phoneticPr fontId="1"/>
  </si>
  <si>
    <r>
      <rPr>
        <b/>
        <sz val="10"/>
        <color theme="1"/>
        <rFont val="ＭＳ Ｐゴシック"/>
        <family val="3"/>
        <charset val="128"/>
      </rPr>
      <t>非該当は</t>
    </r>
    <rPh sb="0" eb="3">
      <t>ヒガイトウ</t>
    </rPh>
    <phoneticPr fontId="1"/>
  </si>
  <si>
    <r>
      <rPr>
        <b/>
        <sz val="10"/>
        <color theme="1"/>
        <rFont val="ＭＳ Ｐゴシック"/>
        <family val="3"/>
        <charset val="128"/>
      </rPr>
      <t>内訳相当額明細</t>
    </r>
    <rPh sb="0" eb="2">
      <t>ウチワケ</t>
    </rPh>
    <rPh sb="2" eb="4">
      <t>ソウトウ</t>
    </rPh>
    <rPh sb="4" eb="5">
      <t>ガク</t>
    </rPh>
    <rPh sb="5" eb="7">
      <t>メイサイ</t>
    </rPh>
    <phoneticPr fontId="1"/>
  </si>
  <si>
    <r>
      <rPr>
        <b/>
        <sz val="10"/>
        <color theme="1"/>
        <rFont val="ＭＳ Ｐゴシック"/>
        <family val="3"/>
        <charset val="128"/>
      </rPr>
      <t>※平等割は加入月数で等分した額。端数に注意。</t>
    </r>
    <rPh sb="1" eb="3">
      <t>ビョウドウ</t>
    </rPh>
    <rPh sb="3" eb="4">
      <t>ワリ</t>
    </rPh>
    <rPh sb="5" eb="7">
      <t>カニュウ</t>
    </rPh>
    <rPh sb="7" eb="9">
      <t>ツキスウ</t>
    </rPh>
    <rPh sb="10" eb="12">
      <t>トウブン</t>
    </rPh>
    <rPh sb="14" eb="15">
      <t>ガク</t>
    </rPh>
    <rPh sb="16" eb="18">
      <t>ハスウ</t>
    </rPh>
    <rPh sb="19" eb="21">
      <t>チュウイ</t>
    </rPh>
    <phoneticPr fontId="1"/>
  </si>
  <si>
    <r>
      <rPr>
        <sz val="10"/>
        <color theme="1"/>
        <rFont val="ＭＳ Ｐゴシック"/>
        <family val="3"/>
        <charset val="128"/>
      </rPr>
      <t>医療保険分</t>
    </r>
    <rPh sb="0" eb="2">
      <t>イリョウ</t>
    </rPh>
    <rPh sb="2" eb="4">
      <t>ホケン</t>
    </rPh>
    <rPh sb="4" eb="5">
      <t>ブン</t>
    </rPh>
    <phoneticPr fontId="1"/>
  </si>
  <si>
    <r>
      <rPr>
        <sz val="10"/>
        <color theme="1"/>
        <rFont val="ＭＳ Ｐゴシック"/>
        <family val="3"/>
        <charset val="128"/>
      </rPr>
      <t>後期高齢者支援金等分</t>
    </r>
    <rPh sb="0" eb="2">
      <t>コウキ</t>
    </rPh>
    <rPh sb="2" eb="5">
      <t>コウレイシャ</t>
    </rPh>
    <rPh sb="5" eb="7">
      <t>シエン</t>
    </rPh>
    <rPh sb="7" eb="8">
      <t>キン</t>
    </rPh>
    <rPh sb="8" eb="9">
      <t>トウ</t>
    </rPh>
    <rPh sb="9" eb="10">
      <t>ブン</t>
    </rPh>
    <phoneticPr fontId="1"/>
  </si>
  <si>
    <r>
      <rPr>
        <sz val="10"/>
        <color theme="1"/>
        <rFont val="ＭＳ Ｐゴシック"/>
        <family val="3"/>
        <charset val="128"/>
      </rPr>
      <t>介護保険分（</t>
    </r>
    <r>
      <rPr>
        <sz val="10"/>
        <color theme="1"/>
        <rFont val="Arial"/>
        <family val="2"/>
      </rPr>
      <t>40</t>
    </r>
    <r>
      <rPr>
        <sz val="10"/>
        <color theme="1"/>
        <rFont val="ＭＳ Ｐゴシック"/>
        <family val="3"/>
        <charset val="128"/>
      </rPr>
      <t>歳～</t>
    </r>
    <r>
      <rPr>
        <sz val="10"/>
        <color theme="1"/>
        <rFont val="Arial"/>
        <family val="2"/>
      </rPr>
      <t>64</t>
    </r>
    <r>
      <rPr>
        <sz val="10"/>
        <color theme="1"/>
        <rFont val="ＭＳ Ｐゴシック"/>
        <family val="3"/>
        <charset val="128"/>
      </rPr>
      <t>歳の方）</t>
    </r>
    <rPh sb="0" eb="2">
      <t>カイゴ</t>
    </rPh>
    <rPh sb="2" eb="4">
      <t>ホケン</t>
    </rPh>
    <rPh sb="4" eb="5">
      <t>ブン</t>
    </rPh>
    <rPh sb="8" eb="9">
      <t>サイ</t>
    </rPh>
    <rPh sb="12" eb="13">
      <t>サイ</t>
    </rPh>
    <rPh sb="14" eb="15">
      <t>カタ</t>
    </rPh>
    <phoneticPr fontId="1"/>
  </si>
  <si>
    <r>
      <rPr>
        <sz val="10"/>
        <color theme="1"/>
        <rFont val="ＭＳ Ｐゴシック"/>
        <family val="3"/>
        <charset val="128"/>
      </rPr>
      <t>所得割計</t>
    </r>
    <rPh sb="0" eb="2">
      <t>ショトク</t>
    </rPh>
    <rPh sb="2" eb="3">
      <t>ワリ</t>
    </rPh>
    <rPh sb="3" eb="4">
      <t>ケイ</t>
    </rPh>
    <phoneticPr fontId="1"/>
  </si>
  <si>
    <r>
      <rPr>
        <sz val="10"/>
        <color theme="1"/>
        <rFont val="ＭＳ Ｐゴシック"/>
        <family val="3"/>
        <charset val="128"/>
      </rPr>
      <t>均等割計</t>
    </r>
    <rPh sb="0" eb="2">
      <t>キントウ</t>
    </rPh>
    <rPh sb="2" eb="3">
      <t>ワ</t>
    </rPh>
    <rPh sb="3" eb="4">
      <t>ケイ</t>
    </rPh>
    <phoneticPr fontId="1"/>
  </si>
  <si>
    <r>
      <rPr>
        <sz val="10"/>
        <color theme="1"/>
        <rFont val="ＭＳ Ｐゴシック"/>
        <family val="3"/>
        <charset val="128"/>
      </rPr>
      <t>平等割計</t>
    </r>
    <rPh sb="0" eb="2">
      <t>ビョウドウ</t>
    </rPh>
    <rPh sb="2" eb="3">
      <t>ワリ</t>
    </rPh>
    <rPh sb="3" eb="4">
      <t>ケイ</t>
    </rPh>
    <phoneticPr fontId="1"/>
  </si>
  <si>
    <r>
      <rPr>
        <sz val="10"/>
        <color theme="1"/>
        <rFont val="ＭＳ Ｐゴシック"/>
        <family val="3"/>
        <charset val="128"/>
      </rPr>
      <t>各人計</t>
    </r>
    <rPh sb="0" eb="2">
      <t>カクジン</t>
    </rPh>
    <rPh sb="2" eb="3">
      <t>ケイ</t>
    </rPh>
    <phoneticPr fontId="1"/>
  </si>
  <si>
    <r>
      <rPr>
        <sz val="10"/>
        <color theme="1"/>
        <rFont val="ＭＳ Ｐゴシック"/>
        <family val="3"/>
        <charset val="128"/>
      </rPr>
      <t>限度額超の場合（内訳は所得割で調整）</t>
    </r>
    <rPh sb="0" eb="2">
      <t>ゲンド</t>
    </rPh>
    <rPh sb="2" eb="3">
      <t>ガク</t>
    </rPh>
    <rPh sb="3" eb="4">
      <t>チョウ</t>
    </rPh>
    <rPh sb="5" eb="7">
      <t>バアイ</t>
    </rPh>
    <rPh sb="8" eb="10">
      <t>ウチワケ</t>
    </rPh>
    <rPh sb="11" eb="13">
      <t>ショトク</t>
    </rPh>
    <rPh sb="13" eb="14">
      <t>ワリ</t>
    </rPh>
    <rPh sb="15" eb="17">
      <t>チョウセイ</t>
    </rPh>
    <phoneticPr fontId="1"/>
  </si>
  <si>
    <r>
      <rPr>
        <sz val="10"/>
        <color theme="1"/>
        <rFont val="ＭＳ Ｐゴシック"/>
        <family val="3"/>
        <charset val="128"/>
      </rPr>
      <t>平等割月割（医療</t>
    </r>
    <rPh sb="0" eb="2">
      <t>ビョウドウ</t>
    </rPh>
    <rPh sb="2" eb="3">
      <t>ワリ</t>
    </rPh>
    <rPh sb="3" eb="4">
      <t>ツキ</t>
    </rPh>
    <rPh sb="4" eb="5">
      <t>ワリ</t>
    </rPh>
    <rPh sb="6" eb="8">
      <t>イリョウ</t>
    </rPh>
    <phoneticPr fontId="1"/>
  </si>
  <si>
    <r>
      <rPr>
        <sz val="10"/>
        <color theme="1"/>
        <rFont val="ＭＳ Ｐゴシック"/>
        <family val="3"/>
        <charset val="128"/>
      </rPr>
      <t>所得割</t>
    </r>
    <rPh sb="0" eb="2">
      <t>ショトク</t>
    </rPh>
    <rPh sb="2" eb="3">
      <t>ワリ</t>
    </rPh>
    <phoneticPr fontId="1"/>
  </si>
  <si>
    <r>
      <rPr>
        <sz val="10"/>
        <color theme="1"/>
        <rFont val="ＭＳ Ｐゴシック"/>
        <family val="3"/>
        <charset val="128"/>
      </rPr>
      <t>均等割</t>
    </r>
    <rPh sb="0" eb="2">
      <t>キントウ</t>
    </rPh>
    <rPh sb="2" eb="3">
      <t>ワ</t>
    </rPh>
    <phoneticPr fontId="1"/>
  </si>
  <si>
    <r>
      <rPr>
        <sz val="10"/>
        <color theme="1"/>
        <rFont val="ＭＳ Ｐゴシック"/>
        <family val="3"/>
        <charset val="128"/>
      </rPr>
      <t>平等割</t>
    </r>
    <rPh sb="0" eb="2">
      <t>ビョウドウ</t>
    </rPh>
    <rPh sb="2" eb="3">
      <t>ワリ</t>
    </rPh>
    <phoneticPr fontId="1"/>
  </si>
  <si>
    <t>A</t>
    <phoneticPr fontId="1"/>
  </si>
  <si>
    <t>B</t>
    <phoneticPr fontId="1"/>
  </si>
  <si>
    <t>C</t>
    <phoneticPr fontId="1"/>
  </si>
  <si>
    <t>D</t>
    <phoneticPr fontId="1"/>
  </si>
  <si>
    <r>
      <rPr>
        <b/>
        <sz val="10"/>
        <color theme="1"/>
        <rFont val="ＭＳ Ｐゴシック"/>
        <family val="3"/>
        <charset val="128"/>
      </rPr>
      <t>全体の計</t>
    </r>
    <rPh sb="0" eb="2">
      <t>ゼンタイ</t>
    </rPh>
    <rPh sb="3" eb="4">
      <t>ケイ</t>
    </rPh>
    <phoneticPr fontId="1"/>
  </si>
  <si>
    <r>
      <rPr>
        <b/>
        <sz val="10"/>
        <color theme="1"/>
        <rFont val="ＭＳ Ｐゴシック"/>
        <family val="3"/>
        <charset val="128"/>
      </rPr>
      <t>端数</t>
    </r>
    <rPh sb="0" eb="2">
      <t>ハスウ</t>
    </rPh>
    <phoneticPr fontId="1"/>
  </si>
  <si>
    <r>
      <rPr>
        <b/>
        <sz val="10"/>
        <color theme="1"/>
        <rFont val="ＭＳ Ｐゴシック"/>
        <family val="3"/>
        <charset val="128"/>
      </rPr>
      <t>←端数注意</t>
    </r>
    <rPh sb="1" eb="3">
      <t>ハスウ</t>
    </rPh>
    <rPh sb="3" eb="5">
      <t>チュウイ</t>
    </rPh>
    <phoneticPr fontId="1"/>
  </si>
  <si>
    <r>
      <rPr>
        <b/>
        <sz val="10"/>
        <color theme="1"/>
        <rFont val="ＭＳ Ｐゴシック"/>
        <family val="3"/>
        <charset val="128"/>
      </rPr>
      <t>→↑</t>
    </r>
    <phoneticPr fontId="1"/>
  </si>
  <si>
    <r>
      <rPr>
        <sz val="10"/>
        <color theme="1"/>
        <rFont val="ＭＳ Ｐゴシック"/>
        <family val="3"/>
        <charset val="128"/>
      </rPr>
      <t>合計</t>
    </r>
    <rPh sb="0" eb="2">
      <t>ゴウケイ</t>
    </rPh>
    <phoneticPr fontId="1"/>
  </si>
  <si>
    <r>
      <rPr>
        <sz val="10"/>
        <color theme="1"/>
        <rFont val="ＭＳ Ｐゴシック"/>
        <family val="3"/>
        <charset val="128"/>
      </rPr>
      <t>支援金等分</t>
    </r>
    <rPh sb="0" eb="3">
      <t>シエンキン</t>
    </rPh>
    <rPh sb="3" eb="5">
      <t>トウブン</t>
    </rPh>
    <phoneticPr fontId="1"/>
  </si>
  <si>
    <r>
      <rPr>
        <sz val="10"/>
        <color theme="1"/>
        <rFont val="ＭＳ Ｐゴシック"/>
        <family val="3"/>
        <charset val="128"/>
      </rPr>
      <t>介護保険分</t>
    </r>
    <rPh sb="0" eb="2">
      <t>カイゴ</t>
    </rPh>
    <rPh sb="2" eb="4">
      <t>ホケン</t>
    </rPh>
    <rPh sb="4" eb="5">
      <t>ブン</t>
    </rPh>
    <phoneticPr fontId="1"/>
  </si>
  <si>
    <r>
      <rPr>
        <sz val="10"/>
        <color theme="1"/>
        <rFont val="ＭＳ Ｐゴシック"/>
        <family val="3"/>
        <charset val="128"/>
      </rPr>
      <t>限度額超過額</t>
    </r>
    <rPh sb="0" eb="2">
      <t>ゲンド</t>
    </rPh>
    <rPh sb="2" eb="3">
      <t>ガク</t>
    </rPh>
    <rPh sb="3" eb="5">
      <t>チョウカ</t>
    </rPh>
    <rPh sb="5" eb="6">
      <t>ガク</t>
    </rPh>
    <phoneticPr fontId="1"/>
  </si>
  <si>
    <r>
      <rPr>
        <sz val="10"/>
        <color theme="1"/>
        <rFont val="ＭＳ Ｐゴシック"/>
        <family val="3"/>
        <charset val="128"/>
      </rPr>
      <t>限度額超過額の計</t>
    </r>
    <rPh sb="0" eb="2">
      <t>ゲンド</t>
    </rPh>
    <rPh sb="2" eb="3">
      <t>ガク</t>
    </rPh>
    <rPh sb="3" eb="6">
      <t>チョウカガク</t>
    </rPh>
    <rPh sb="7" eb="8">
      <t>ケイ</t>
    </rPh>
    <phoneticPr fontId="1"/>
  </si>
  <si>
    <r>
      <rPr>
        <sz val="10"/>
        <color theme="1"/>
        <rFont val="ＭＳ Ｐゴシック"/>
        <family val="3"/>
        <charset val="128"/>
      </rPr>
      <t>医療年度額</t>
    </r>
    <rPh sb="0" eb="2">
      <t>イリョウ</t>
    </rPh>
    <rPh sb="2" eb="4">
      <t>ネンド</t>
    </rPh>
    <rPh sb="4" eb="5">
      <t>ガク</t>
    </rPh>
    <phoneticPr fontId="1"/>
  </si>
  <si>
    <r>
      <rPr>
        <sz val="10"/>
        <color theme="1"/>
        <rFont val="ＭＳ Ｐゴシック"/>
        <family val="3"/>
        <charset val="128"/>
      </rPr>
      <t>支援年度額</t>
    </r>
    <rPh sb="0" eb="2">
      <t>シエン</t>
    </rPh>
    <rPh sb="2" eb="4">
      <t>ネンド</t>
    </rPh>
    <rPh sb="4" eb="5">
      <t>ガク</t>
    </rPh>
    <phoneticPr fontId="1"/>
  </si>
  <si>
    <r>
      <rPr>
        <sz val="10"/>
        <color theme="1"/>
        <rFont val="ＭＳ Ｐゴシック"/>
        <family val="3"/>
        <charset val="128"/>
      </rPr>
      <t>介護年度額</t>
    </r>
    <rPh sb="0" eb="2">
      <t>カイゴ</t>
    </rPh>
    <rPh sb="2" eb="4">
      <t>ネンド</t>
    </rPh>
    <rPh sb="4" eb="5">
      <t>ガク</t>
    </rPh>
    <phoneticPr fontId="1"/>
  </si>
  <si>
    <r>
      <rPr>
        <b/>
        <sz val="10"/>
        <color theme="1"/>
        <rFont val="ＭＳ Ｐゴシック"/>
        <family val="3"/>
        <charset val="128"/>
      </rPr>
      <t>合計年度額</t>
    </r>
    <rPh sb="0" eb="2">
      <t>ゴウケイ</t>
    </rPh>
    <rPh sb="2" eb="4">
      <t>ネンド</t>
    </rPh>
    <rPh sb="4" eb="5">
      <t>ガク</t>
    </rPh>
    <phoneticPr fontId="1"/>
  </si>
  <si>
    <r>
      <rPr>
        <sz val="10"/>
        <color theme="1"/>
        <rFont val="ＭＳ Ｐゴシック"/>
        <family val="3"/>
        <charset val="128"/>
      </rPr>
      <t>※期別内訳</t>
    </r>
    <rPh sb="1" eb="2">
      <t>キ</t>
    </rPh>
    <rPh sb="2" eb="3">
      <t>ベツ</t>
    </rPh>
    <rPh sb="3" eb="5">
      <t>ウチワケ</t>
    </rPh>
    <phoneticPr fontId="1"/>
  </si>
  <si>
    <r>
      <rPr>
        <sz val="10"/>
        <color theme="1"/>
        <rFont val="ＭＳ Ｐゴシック"/>
        <family val="3"/>
        <charset val="128"/>
      </rPr>
      <t>各人相当額</t>
    </r>
    <rPh sb="0" eb="2">
      <t>カクジン</t>
    </rPh>
    <rPh sb="2" eb="4">
      <t>ソウトウ</t>
    </rPh>
    <rPh sb="4" eb="5">
      <t>ガク</t>
    </rPh>
    <phoneticPr fontId="1"/>
  </si>
  <si>
    <r>
      <rPr>
        <sz val="10"/>
        <color theme="1"/>
        <rFont val="ＭＳ Ｐゴシック"/>
        <family val="3"/>
        <charset val="128"/>
      </rPr>
      <t>率</t>
    </r>
    <rPh sb="0" eb="1">
      <t>リツ</t>
    </rPh>
    <phoneticPr fontId="1"/>
  </si>
  <si>
    <r>
      <rPr>
        <sz val="10"/>
        <color theme="1"/>
        <rFont val="ＭＳ Ｐゴシック"/>
        <family val="3"/>
        <charset val="128"/>
      </rPr>
      <t>　　　（自動計算）</t>
    </r>
    <rPh sb="4" eb="6">
      <t>ジドウ</t>
    </rPh>
    <rPh sb="6" eb="8">
      <t>ケイサン</t>
    </rPh>
    <phoneticPr fontId="1"/>
  </si>
  <si>
    <r>
      <rPr>
        <sz val="10"/>
        <color theme="1"/>
        <rFont val="ＭＳ Ｐゴシック"/>
        <family val="3"/>
        <charset val="128"/>
      </rPr>
      <t>　　　（手動入力）</t>
    </r>
    <rPh sb="4" eb="6">
      <t>シュドウ</t>
    </rPh>
    <rPh sb="6" eb="8">
      <t>ニュウリョク</t>
    </rPh>
    <phoneticPr fontId="1"/>
  </si>
  <si>
    <r>
      <rPr>
        <sz val="10"/>
        <color theme="1"/>
        <rFont val="ＭＳ Ｐゴシック"/>
        <family val="3"/>
        <charset val="128"/>
      </rPr>
      <t>期別</t>
    </r>
    <rPh sb="0" eb="1">
      <t>キ</t>
    </rPh>
    <rPh sb="1" eb="2">
      <t>ベツ</t>
    </rPh>
    <phoneticPr fontId="1"/>
  </si>
  <si>
    <r>
      <rPr>
        <sz val="10"/>
        <color theme="1"/>
        <rFont val="ＭＳ Ｐゴシック"/>
        <family val="3"/>
        <charset val="128"/>
      </rPr>
      <t>相当額</t>
    </r>
    <rPh sb="0" eb="2">
      <t>ソウトウ</t>
    </rPh>
    <rPh sb="2" eb="3">
      <t>ガク</t>
    </rPh>
    <phoneticPr fontId="1"/>
  </si>
  <si>
    <r>
      <rPr>
        <sz val="10"/>
        <color theme="1"/>
        <rFont val="ＭＳ Ｐゴシック"/>
        <family val="3"/>
        <charset val="128"/>
      </rPr>
      <t>全体</t>
    </r>
    <rPh sb="0" eb="2">
      <t>ゼンタイ</t>
    </rPh>
    <phoneticPr fontId="1"/>
  </si>
  <si>
    <r>
      <rPr>
        <sz val="10"/>
        <color theme="1"/>
        <rFont val="ＭＳ Ｐゴシック"/>
        <family val="3"/>
        <charset val="128"/>
      </rPr>
      <t>※年度判定により各年度パラメータ参照。</t>
    </r>
    <rPh sb="1" eb="3">
      <t>ネンド</t>
    </rPh>
    <rPh sb="3" eb="5">
      <t>ハンテイ</t>
    </rPh>
    <rPh sb="8" eb="11">
      <t>カクネンド</t>
    </rPh>
    <rPh sb="16" eb="18">
      <t>サンショウ</t>
    </rPh>
    <phoneticPr fontId="1"/>
  </si>
  <si>
    <r>
      <rPr>
        <sz val="10"/>
        <color theme="1"/>
        <rFont val="ＭＳ Ｐゴシック"/>
        <family val="3"/>
        <charset val="128"/>
      </rPr>
      <t>※軽減判定により左表を計算。</t>
    </r>
    <rPh sb="1" eb="3">
      <t>ケイゲン</t>
    </rPh>
    <rPh sb="3" eb="5">
      <t>ハンテイ</t>
    </rPh>
    <rPh sb="8" eb="9">
      <t>サ</t>
    </rPh>
    <rPh sb="9" eb="10">
      <t>ヒョウ</t>
    </rPh>
    <rPh sb="11" eb="13">
      <t>ケイサン</t>
    </rPh>
    <phoneticPr fontId="1"/>
  </si>
  <si>
    <r>
      <rPr>
        <sz val="10"/>
        <color theme="1"/>
        <rFont val="ＭＳ Ｐゴシック"/>
        <family val="3"/>
        <charset val="128"/>
      </rPr>
      <t>限度額</t>
    </r>
    <rPh sb="0" eb="2">
      <t>ゲンド</t>
    </rPh>
    <rPh sb="2" eb="3">
      <t>ガク</t>
    </rPh>
    <phoneticPr fontId="1"/>
  </si>
  <si>
    <r>
      <rPr>
        <sz val="10"/>
        <color theme="1"/>
        <rFont val="ＭＳ Ｐゴシック"/>
        <family val="3"/>
        <charset val="128"/>
      </rPr>
      <t>→</t>
    </r>
    <phoneticPr fontId="1"/>
  </si>
  <si>
    <r>
      <rPr>
        <sz val="10"/>
        <color theme="1"/>
        <rFont val="ＭＳ Ｐゴシック"/>
        <family val="3"/>
        <charset val="128"/>
      </rPr>
      <t>均等割</t>
    </r>
    <rPh sb="0" eb="3">
      <t>キントウワリ</t>
    </rPh>
    <phoneticPr fontId="1"/>
  </si>
  <si>
    <r>
      <rPr>
        <sz val="10"/>
        <color theme="1"/>
        <rFont val="ＭＳ Ｐゴシック"/>
        <family val="3"/>
        <charset val="128"/>
      </rPr>
      <t>※特定同一用パラメータ</t>
    </r>
    <rPh sb="1" eb="3">
      <t>トクテイ</t>
    </rPh>
    <rPh sb="3" eb="5">
      <t>ドウイツ</t>
    </rPh>
    <rPh sb="5" eb="6">
      <t>ヨウ</t>
    </rPh>
    <phoneticPr fontId="1"/>
  </si>
  <si>
    <r>
      <rPr>
        <sz val="10"/>
        <color theme="1"/>
        <rFont val="ＭＳ Ｐゴシック"/>
        <family val="3"/>
        <charset val="128"/>
      </rPr>
      <t>非該当</t>
    </r>
    <rPh sb="0" eb="3">
      <t>ヒガイトウ</t>
    </rPh>
    <phoneticPr fontId="1"/>
  </si>
  <si>
    <r>
      <rPr>
        <sz val="10"/>
        <color theme="1"/>
        <rFont val="ＭＳ Ｐゴシック"/>
        <family val="3"/>
        <charset val="128"/>
      </rPr>
      <t>２分の１</t>
    </r>
  </si>
  <si>
    <r>
      <rPr>
        <sz val="10"/>
        <color theme="1"/>
        <rFont val="ＭＳ Ｐゴシック"/>
        <family val="3"/>
        <charset val="128"/>
      </rPr>
      <t>４分の１軽減</t>
    </r>
    <rPh sb="4" eb="6">
      <t>ケイゲン</t>
    </rPh>
    <phoneticPr fontId="1"/>
  </si>
  <si>
    <r>
      <rPr>
        <sz val="10"/>
        <color theme="1"/>
        <rFont val="ＭＳ Ｐゴシック"/>
        <family val="3"/>
        <charset val="128"/>
      </rPr>
      <t>※軽減判定用パラメータ</t>
    </r>
    <rPh sb="1" eb="3">
      <t>ケイゲン</t>
    </rPh>
    <rPh sb="3" eb="5">
      <t>ハンテイ</t>
    </rPh>
    <rPh sb="5" eb="6">
      <t>ヨウ</t>
    </rPh>
    <phoneticPr fontId="1"/>
  </si>
  <si>
    <r>
      <rPr>
        <sz val="10"/>
        <color theme="1"/>
        <rFont val="ＭＳ Ｐゴシック"/>
        <family val="3"/>
        <charset val="128"/>
      </rPr>
      <t>※印刷用表示（加入状況）</t>
    </r>
    <rPh sb="1" eb="3">
      <t>インサツ</t>
    </rPh>
    <rPh sb="3" eb="4">
      <t>ヨウ</t>
    </rPh>
    <rPh sb="4" eb="6">
      <t>ヒョウジ</t>
    </rPh>
    <rPh sb="7" eb="9">
      <t>カニュウ</t>
    </rPh>
    <rPh sb="9" eb="11">
      <t>ジョウキョウ</t>
    </rPh>
    <phoneticPr fontId="1"/>
  </si>
  <si>
    <r>
      <rPr>
        <sz val="10"/>
        <color theme="1"/>
        <rFont val="ＭＳ Ｐゴシック"/>
        <family val="3"/>
        <charset val="128"/>
      </rPr>
      <t>通常</t>
    </r>
    <rPh sb="0" eb="2">
      <t>ツウジョウ</t>
    </rPh>
    <phoneticPr fontId="1"/>
  </si>
  <si>
    <r>
      <rPr>
        <sz val="10"/>
        <color theme="1"/>
        <rFont val="ＭＳ Ｐゴシック"/>
        <family val="3"/>
        <charset val="128"/>
      </rPr>
      <t>軽減なし</t>
    </r>
    <rPh sb="0" eb="2">
      <t>ケイゲン</t>
    </rPh>
    <phoneticPr fontId="1"/>
  </si>
  <si>
    <r>
      <rPr>
        <sz val="10"/>
        <color theme="1"/>
        <rFont val="ＭＳ Ｐゴシック"/>
        <family val="3"/>
        <charset val="128"/>
      </rPr>
      <t>○</t>
    </r>
    <phoneticPr fontId="1"/>
  </si>
  <si>
    <r>
      <rPr>
        <sz val="10"/>
        <color theme="1"/>
        <rFont val="ＭＳ Ｐゴシック"/>
        <family val="3"/>
        <charset val="128"/>
      </rPr>
      <t>２割軽減</t>
    </r>
    <rPh sb="1" eb="2">
      <t>ワリ</t>
    </rPh>
    <rPh sb="2" eb="4">
      <t>ケイゲン</t>
    </rPh>
    <phoneticPr fontId="1"/>
  </si>
  <si>
    <r>
      <rPr>
        <sz val="10"/>
        <color theme="1"/>
        <rFont val="ＭＳ Ｐゴシック"/>
        <family val="3"/>
        <charset val="128"/>
      </rPr>
      <t>●（介護）</t>
    </r>
    <rPh sb="2" eb="4">
      <t>カイゴ</t>
    </rPh>
    <phoneticPr fontId="1"/>
  </si>
  <si>
    <r>
      <rPr>
        <sz val="10"/>
        <color theme="1"/>
        <rFont val="ＭＳ Ｐゴシック"/>
        <family val="3"/>
        <charset val="128"/>
      </rPr>
      <t>５割軽減</t>
    </r>
    <rPh sb="1" eb="2">
      <t>ワリ</t>
    </rPh>
    <rPh sb="2" eb="4">
      <t>ケイゲン</t>
    </rPh>
    <phoneticPr fontId="1"/>
  </si>
  <si>
    <r>
      <rPr>
        <sz val="10"/>
        <color theme="1"/>
        <rFont val="ＭＳ Ｐゴシック"/>
        <family val="3"/>
        <charset val="128"/>
      </rPr>
      <t>７割軽減</t>
    </r>
    <rPh sb="1" eb="2">
      <t>ワリ</t>
    </rPh>
    <rPh sb="2" eb="4">
      <t>ケイゲン</t>
    </rPh>
    <phoneticPr fontId="1"/>
  </si>
  <si>
    <r>
      <rPr>
        <sz val="10"/>
        <color theme="1"/>
        <rFont val="ＭＳ Ｐゴシック"/>
        <family val="3"/>
        <charset val="128"/>
      </rPr>
      <t>※各年度パラメータ</t>
    </r>
    <rPh sb="1" eb="4">
      <t>カクネンド</t>
    </rPh>
    <phoneticPr fontId="1"/>
  </si>
  <si>
    <t>H22</t>
    <phoneticPr fontId="1"/>
  </si>
  <si>
    <t>H23</t>
    <phoneticPr fontId="1"/>
  </si>
  <si>
    <t>H24</t>
    <phoneticPr fontId="1"/>
  </si>
  <si>
    <t>H25</t>
    <phoneticPr fontId="1"/>
  </si>
  <si>
    <t>H26</t>
    <phoneticPr fontId="1"/>
  </si>
  <si>
    <t>H27</t>
    <phoneticPr fontId="1"/>
  </si>
  <si>
    <t>H28</t>
    <phoneticPr fontId="1"/>
  </si>
  <si>
    <r>
      <rPr>
        <sz val="10"/>
        <color theme="1"/>
        <rFont val="ＭＳ Ｐゴシック"/>
        <family val="3"/>
        <charset val="128"/>
      </rPr>
      <t>期割額</t>
    </r>
    <rPh sb="0" eb="1">
      <t>キ</t>
    </rPh>
    <rPh sb="1" eb="2">
      <t>ワリ</t>
    </rPh>
    <rPh sb="2" eb="3">
      <t>ガク</t>
    </rPh>
    <phoneticPr fontId="1"/>
  </si>
  <si>
    <r>
      <rPr>
        <sz val="10"/>
        <color theme="1"/>
        <rFont val="ＭＳ Ｐゴシック"/>
        <family val="3"/>
        <charset val="128"/>
      </rPr>
      <t>医療</t>
    </r>
    <rPh sb="0" eb="2">
      <t>イリョウ</t>
    </rPh>
    <phoneticPr fontId="1"/>
  </si>
  <si>
    <r>
      <rPr>
        <sz val="10"/>
        <color theme="1"/>
        <rFont val="ＭＳ Ｐゴシック"/>
        <family val="3"/>
        <charset val="128"/>
      </rPr>
      <t>支援</t>
    </r>
    <rPh sb="0" eb="2">
      <t>シエン</t>
    </rPh>
    <phoneticPr fontId="1"/>
  </si>
  <si>
    <r>
      <rPr>
        <sz val="10"/>
        <color theme="1"/>
        <rFont val="ＭＳ Ｐゴシック"/>
        <family val="3"/>
        <charset val="128"/>
      </rPr>
      <t>年度</t>
    </r>
    <rPh sb="0" eb="2">
      <t>ネンド</t>
    </rPh>
    <phoneticPr fontId="1"/>
  </si>
  <si>
    <t>H29</t>
  </si>
  <si>
    <t>H29</t>
    <phoneticPr fontId="1"/>
  </si>
  <si>
    <t>軽減判定対象</t>
    <rPh sb="0" eb="2">
      <t>ケイゲン</t>
    </rPh>
    <rPh sb="2" eb="4">
      <t>ハンテイ</t>
    </rPh>
    <rPh sb="4" eb="6">
      <t>タイショウ</t>
    </rPh>
    <phoneticPr fontId="1"/>
  </si>
  <si>
    <t>○</t>
    <phoneticPr fontId="1"/>
  </si>
  <si>
    <t>↓軽減判定対象用</t>
    <rPh sb="1" eb="3">
      <t>ケイゲン</t>
    </rPh>
    <rPh sb="3" eb="5">
      <t>ハンテイ</t>
    </rPh>
    <rPh sb="5" eb="7">
      <t>タイショウ</t>
    </rPh>
    <rPh sb="7" eb="8">
      <t>ヨウ</t>
    </rPh>
    <phoneticPr fontId="1"/>
  </si>
  <si>
    <t>世帯主A</t>
    <rPh sb="0" eb="3">
      <t>セタイヌシ</t>
    </rPh>
    <phoneticPr fontId="1"/>
  </si>
  <si>
    <r>
      <rPr>
        <sz val="10"/>
        <color theme="1"/>
        <rFont val="ＭＳ Ｐゴシック"/>
        <family val="3"/>
        <charset val="128"/>
      </rPr>
      <t>世帯主</t>
    </r>
    <r>
      <rPr>
        <sz val="10"/>
        <color theme="1"/>
        <rFont val="Arial"/>
        <family val="2"/>
      </rPr>
      <t>A</t>
    </r>
    <rPh sb="0" eb="3">
      <t>セタイヌシ</t>
    </rPh>
    <phoneticPr fontId="1"/>
  </si>
  <si>
    <t>A</t>
    <phoneticPr fontId="1"/>
  </si>
  <si>
    <t>●介護</t>
    <rPh sb="1" eb="3">
      <t>カイゴ</t>
    </rPh>
    <phoneticPr fontId="1"/>
  </si>
  <si>
    <t>平等割月割（支援</t>
    <rPh sb="0" eb="2">
      <t>ビョウドウ</t>
    </rPh>
    <rPh sb="2" eb="3">
      <t>ワリ</t>
    </rPh>
    <rPh sb="3" eb="4">
      <t>ツキ</t>
    </rPh>
    <rPh sb="4" eb="5">
      <t>ワリ</t>
    </rPh>
    <rPh sb="6" eb="8">
      <t>シエン</t>
    </rPh>
    <phoneticPr fontId="1"/>
  </si>
  <si>
    <t>平等割月割（介護</t>
    <rPh sb="0" eb="2">
      <t>ビョウドウ</t>
    </rPh>
    <rPh sb="2" eb="3">
      <t>ワリ</t>
    </rPh>
    <rPh sb="3" eb="4">
      <t>ツキ</t>
    </rPh>
    <rPh sb="4" eb="5">
      <t>ワリ</t>
    </rPh>
    <rPh sb="6" eb="8">
      <t>カイゴ</t>
    </rPh>
    <phoneticPr fontId="1"/>
  </si>
  <si>
    <t>加入者増あたりの増加基準金額</t>
    <rPh sb="0" eb="3">
      <t>カニュウシャ</t>
    </rPh>
    <rPh sb="3" eb="4">
      <t>ゾウ</t>
    </rPh>
    <rPh sb="8" eb="10">
      <t>ゾウカ</t>
    </rPh>
    <rPh sb="10" eb="12">
      <t>キジュン</t>
    </rPh>
    <rPh sb="12" eb="14">
      <t>キンガク</t>
    </rPh>
    <phoneticPr fontId="1"/>
  </si>
  <si>
    <t>軽減判定</t>
    <rPh sb="0" eb="2">
      <t>ケイゲン</t>
    </rPh>
    <rPh sb="2" eb="4">
      <t>ハンテイ</t>
    </rPh>
    <phoneticPr fontId="1"/>
  </si>
  <si>
    <t>７割</t>
    <rPh sb="1" eb="2">
      <t>ワリ</t>
    </rPh>
    <phoneticPr fontId="1"/>
  </si>
  <si>
    <t>５割</t>
    <rPh sb="1" eb="2">
      <t>ワリ</t>
    </rPh>
    <phoneticPr fontId="1"/>
  </si>
  <si>
    <t>２割</t>
    <rPh sb="1" eb="2">
      <t>ワリ</t>
    </rPh>
    <phoneticPr fontId="1"/>
  </si>
  <si>
    <t>人数（擬主含まない）</t>
    <rPh sb="0" eb="2">
      <t>ニンズウ</t>
    </rPh>
    <rPh sb="3" eb="4">
      <t>ギ</t>
    </rPh>
    <rPh sb="4" eb="5">
      <t>ヌシ</t>
    </rPh>
    <rPh sb="5" eb="6">
      <t>フク</t>
    </rPh>
    <phoneticPr fontId="1"/>
  </si>
  <si>
    <t>軽減基準所得（擬主分含む）</t>
    <rPh sb="0" eb="2">
      <t>ケイゲン</t>
    </rPh>
    <rPh sb="2" eb="4">
      <t>キジュン</t>
    </rPh>
    <rPh sb="4" eb="6">
      <t>ショトク</t>
    </rPh>
    <rPh sb="7" eb="8">
      <t>ギ</t>
    </rPh>
    <rPh sb="8" eb="9">
      <t>ヌシ</t>
    </rPh>
    <rPh sb="9" eb="10">
      <t>ブン</t>
    </rPh>
    <rPh sb="10" eb="11">
      <t>フク</t>
    </rPh>
    <phoneticPr fontId="1"/>
  </si>
  <si>
    <t>max関数</t>
    <rPh sb="3" eb="5">
      <t>カンスウ</t>
    </rPh>
    <phoneticPr fontId="1"/>
  </si>
  <si>
    <t>判定</t>
    <rPh sb="0" eb="2">
      <t>ハンテイ</t>
    </rPh>
    <phoneticPr fontId="1"/>
  </si>
  <si>
    <r>
      <t>2</t>
    </r>
    <r>
      <rPr>
        <sz val="10"/>
        <color theme="1"/>
        <rFont val="ＭＳ Ｐゴシック"/>
        <family val="3"/>
        <charset val="128"/>
      </rPr>
      <t>割軽減</t>
    </r>
    <rPh sb="1" eb="2">
      <t>ワリ</t>
    </rPh>
    <rPh sb="2" eb="4">
      <t>ケイゲン</t>
    </rPh>
    <phoneticPr fontId="1"/>
  </si>
  <si>
    <r>
      <t>5</t>
    </r>
    <r>
      <rPr>
        <sz val="10"/>
        <color theme="1"/>
        <rFont val="ＭＳ Ｐゴシック"/>
        <family val="3"/>
        <charset val="128"/>
      </rPr>
      <t>割軽減</t>
    </r>
    <rPh sb="1" eb="2">
      <t>ワリ</t>
    </rPh>
    <rPh sb="2" eb="4">
      <t>ケイゲン</t>
    </rPh>
    <phoneticPr fontId="1"/>
  </si>
  <si>
    <r>
      <t>7</t>
    </r>
    <r>
      <rPr>
        <sz val="10"/>
        <color theme="1"/>
        <rFont val="ＭＳ Ｐゴシック"/>
        <family val="3"/>
        <charset val="128"/>
      </rPr>
      <t>割軽減</t>
    </r>
    <rPh sb="1" eb="2">
      <t>ワリ</t>
    </rPh>
    <rPh sb="2" eb="4">
      <t>ケイゲン</t>
    </rPh>
    <phoneticPr fontId="1"/>
  </si>
  <si>
    <t>総所得金額</t>
    <rPh sb="0" eb="3">
      <t>ソウショトク</t>
    </rPh>
    <rPh sb="3" eb="5">
      <t>キンガク</t>
    </rPh>
    <phoneticPr fontId="1"/>
  </si>
  <si>
    <t>基準総所得</t>
    <rPh sb="0" eb="2">
      <t>キジュン</t>
    </rPh>
    <rPh sb="2" eb="5">
      <t>ソウショトク</t>
    </rPh>
    <phoneticPr fontId="1"/>
  </si>
  <si>
    <t>擬制世帯主</t>
    <rPh sb="0" eb="1">
      <t>ギ</t>
    </rPh>
    <rPh sb="1" eb="2">
      <t>セイ</t>
    </rPh>
    <rPh sb="2" eb="5">
      <t>セタイヌシ</t>
    </rPh>
    <phoneticPr fontId="1"/>
  </si>
  <si>
    <t>合計年度額</t>
    <rPh sb="0" eb="2">
      <t>ゴウケイ</t>
    </rPh>
    <rPh sb="2" eb="4">
      <t>ネンド</t>
    </rPh>
    <rPh sb="4" eb="5">
      <t>ガク</t>
    </rPh>
    <phoneticPr fontId="1"/>
  </si>
  <si>
    <t>軽減判定基準所得</t>
    <rPh sb="0" eb="2">
      <t>ケイゲン</t>
    </rPh>
    <rPh sb="2" eb="4">
      <t>ハンテイ</t>
    </rPh>
    <rPh sb="4" eb="6">
      <t>キジュン</t>
    </rPh>
    <rPh sb="6" eb="8">
      <t>ショトク</t>
    </rPh>
    <phoneticPr fontId="1"/>
  </si>
  <si>
    <t>※端数処理しています。実際は１円単位まで計算されます。</t>
    <rPh sb="1" eb="3">
      <t>ハスウ</t>
    </rPh>
    <rPh sb="3" eb="5">
      <t>ショリ</t>
    </rPh>
    <rPh sb="11" eb="13">
      <t>ジッサイ</t>
    </rPh>
    <rPh sb="15" eb="16">
      <t>エン</t>
    </rPh>
    <rPh sb="16" eb="18">
      <t>タンイ</t>
    </rPh>
    <rPh sb="20" eb="22">
      <t>ケイサン</t>
    </rPh>
    <phoneticPr fontId="1"/>
  </si>
</sst>
</file>

<file path=xl/styles.xml><?xml version="1.0" encoding="utf-8"?>
<styleSheet xmlns="http://schemas.openxmlformats.org/spreadsheetml/2006/main">
  <numFmts count="3">
    <numFmt numFmtId="176" formatCode="0.00_);[Red]\(0.00\)"/>
    <numFmt numFmtId="177" formatCode="General&quot;月&quot;"/>
    <numFmt numFmtId="178" formatCode="General\(&quot;固&quot;&quot;定&quot;\)"/>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3"/>
      <name val="ＭＳ ゴシック"/>
      <family val="3"/>
      <charset val="128"/>
    </font>
    <font>
      <b/>
      <sz val="13"/>
      <name val="ＭＳ ゴシック"/>
      <family val="3"/>
      <charset val="128"/>
    </font>
    <font>
      <sz val="11"/>
      <color theme="1"/>
      <name val="ＭＳ Ｐゴシック"/>
      <family val="2"/>
      <charset val="128"/>
      <scheme val="minor"/>
    </font>
    <font>
      <b/>
      <sz val="11"/>
      <color theme="1"/>
      <name val="ＭＳ Ｐゴシック"/>
      <family val="2"/>
      <charset val="128"/>
      <scheme val="minor"/>
    </font>
    <font>
      <b/>
      <sz val="11"/>
      <color rgb="FFFF0000"/>
      <name val="ＭＳ Ｐゴシック"/>
      <family val="2"/>
      <charset val="128"/>
      <scheme val="minor"/>
    </font>
    <font>
      <b/>
      <sz val="11"/>
      <name val="ＭＳ Ｐゴシック"/>
      <family val="3"/>
      <charset val="128"/>
    </font>
    <font>
      <sz val="10"/>
      <color theme="1"/>
      <name val="ＭＳ Ｐゴシック"/>
      <family val="3"/>
      <charset val="128"/>
    </font>
    <font>
      <b/>
      <sz val="10"/>
      <color theme="1"/>
      <name val="ＭＳ Ｐゴシック"/>
      <family val="3"/>
      <charset val="128"/>
    </font>
    <font>
      <b/>
      <sz val="11"/>
      <color theme="1"/>
      <name val="ＭＳ Ｐゴシック"/>
      <family val="3"/>
      <charset val="128"/>
      <scheme val="minor"/>
    </font>
    <font>
      <sz val="10"/>
      <color theme="1"/>
      <name val="Arial"/>
      <family val="2"/>
    </font>
    <font>
      <b/>
      <sz val="10"/>
      <color theme="1"/>
      <name val="Arial"/>
      <family val="2"/>
    </font>
    <font>
      <b/>
      <sz val="10"/>
      <color rgb="FFFF0000"/>
      <name val="Arial"/>
      <family val="2"/>
    </font>
    <font>
      <sz val="10"/>
      <color theme="1"/>
      <name val="ＭＳ Ｐゴシック"/>
      <family val="3"/>
      <charset val="128"/>
      <scheme val="minor"/>
    </font>
    <font>
      <sz val="11"/>
      <color theme="1"/>
      <name val="ＭＳ 明朝"/>
      <family val="1"/>
      <charset val="128"/>
    </font>
  </fonts>
  <fills count="13">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00FF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79998168889431442"/>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style="thin">
        <color theme="3" tint="0.39997558519241921"/>
      </right>
      <top/>
      <bottom/>
      <diagonal/>
    </border>
    <border>
      <left style="thin">
        <color indexed="64"/>
      </left>
      <right style="thin">
        <color indexed="64"/>
      </right>
      <top style="thin">
        <color indexed="64"/>
      </top>
      <bottom style="thin">
        <color indexed="64"/>
      </bottom>
      <diagonal/>
    </border>
    <border>
      <left/>
      <right/>
      <top style="thin">
        <color theme="3" tint="0.39997558519241921"/>
      </top>
      <bottom style="thin">
        <color theme="3" tint="0.39997558519241921"/>
      </bottom>
      <diagonal/>
    </border>
    <border>
      <left style="medium">
        <color theme="3" tint="0.39997558519241921"/>
      </left>
      <right style="thin">
        <color theme="3" tint="0.39997558519241921"/>
      </right>
      <top style="medium">
        <color theme="3" tint="0.39997558519241921"/>
      </top>
      <bottom style="medium">
        <color theme="3" tint="0.39997558519241921"/>
      </bottom>
      <diagonal/>
    </border>
    <border>
      <left style="thin">
        <color theme="3" tint="0.39997558519241921"/>
      </left>
      <right style="thin">
        <color theme="3" tint="0.39997558519241921"/>
      </right>
      <top style="medium">
        <color theme="3" tint="0.39997558519241921"/>
      </top>
      <bottom style="medium">
        <color theme="3" tint="0.39997558519241921"/>
      </bottom>
      <diagonal/>
    </border>
    <border>
      <left style="thin">
        <color theme="3" tint="0.39997558519241921"/>
      </left>
      <right style="medium">
        <color theme="3" tint="0.39997558519241921"/>
      </right>
      <top style="medium">
        <color theme="3" tint="0.39997558519241921"/>
      </top>
      <bottom style="medium">
        <color theme="3" tint="0.39997558519241921"/>
      </bottom>
      <diagonal/>
    </border>
    <border>
      <left style="thin">
        <color theme="3" tint="0.39997558519241921"/>
      </left>
      <right/>
      <top/>
      <bottom style="double">
        <color theme="3" tint="0.39997558519241921"/>
      </bottom>
      <diagonal/>
    </border>
    <border>
      <left/>
      <right/>
      <top/>
      <bottom style="double">
        <color theme="3" tint="0.39997558519241921"/>
      </bottom>
      <diagonal/>
    </border>
    <border>
      <left style="thin">
        <color theme="3" tint="0.39997558519241921"/>
      </left>
      <right/>
      <top style="thin">
        <color theme="3" tint="0.39997558519241921"/>
      </top>
      <bottom style="thin">
        <color theme="3" tint="0.39997558519241921"/>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theme="3" tint="0.39997558519241921"/>
      </right>
      <top style="medium">
        <color rgb="FFC00000"/>
      </top>
      <bottom style="medium">
        <color rgb="FFC00000"/>
      </bottom>
      <diagonal/>
    </border>
    <border>
      <left style="thin">
        <color theme="3" tint="0.39997558519241921"/>
      </left>
      <right style="thin">
        <color theme="3" tint="0.39997558519241921"/>
      </right>
      <top style="medium">
        <color rgb="FFC00000"/>
      </top>
      <bottom style="medium">
        <color rgb="FFC00000"/>
      </bottom>
      <diagonal/>
    </border>
    <border>
      <left style="thin">
        <color theme="3" tint="0.39997558519241921"/>
      </left>
      <right style="medium">
        <color rgb="FFC00000"/>
      </right>
      <top style="medium">
        <color rgb="FFC00000"/>
      </top>
      <bottom style="medium">
        <color rgb="FFC00000"/>
      </bottom>
      <diagonal/>
    </border>
    <border>
      <left style="thin">
        <color theme="3" tint="0.39997558519241921"/>
      </left>
      <right/>
      <top/>
      <bottom/>
      <diagonal/>
    </border>
    <border>
      <left/>
      <right style="thin">
        <color theme="3" tint="0.39997558519241921"/>
      </right>
      <top style="thin">
        <color theme="3" tint="0.39997558519241921"/>
      </top>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right/>
      <top style="thin">
        <color theme="3" tint="0.39997558519241921"/>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cellStyleXfs>
  <cellXfs count="249">
    <xf numFmtId="0" fontId="0" fillId="0" borderId="0" xfId="0">
      <alignment vertical="center"/>
    </xf>
    <xf numFmtId="0" fontId="2" fillId="0" borderId="0" xfId="1">
      <alignment vertical="center"/>
    </xf>
    <xf numFmtId="38" fontId="4" fillId="0" borderId="0" xfId="2" applyFont="1">
      <alignment vertical="center"/>
    </xf>
    <xf numFmtId="0" fontId="4" fillId="0" borderId="1" xfId="1" applyFont="1" applyBorder="1">
      <alignment vertical="center"/>
    </xf>
    <xf numFmtId="0" fontId="4" fillId="0" borderId="2" xfId="1" applyFont="1" applyBorder="1">
      <alignment vertical="center"/>
    </xf>
    <xf numFmtId="176" fontId="4" fillId="0" borderId="2" xfId="2" applyNumberFormat="1" applyFont="1" applyBorder="1">
      <alignment vertical="center"/>
    </xf>
    <xf numFmtId="0" fontId="4" fillId="0" borderId="3" xfId="1" applyFont="1" applyBorder="1">
      <alignment vertical="center"/>
    </xf>
    <xf numFmtId="0" fontId="4" fillId="0" borderId="4" xfId="1" applyFont="1" applyBorder="1">
      <alignment vertical="center"/>
    </xf>
    <xf numFmtId="0" fontId="4" fillId="0" borderId="5" xfId="1" applyFont="1" applyBorder="1">
      <alignment vertical="center"/>
    </xf>
    <xf numFmtId="176" fontId="4" fillId="0" borderId="5" xfId="2" applyNumberFormat="1" applyFont="1" applyBorder="1">
      <alignment vertical="center"/>
    </xf>
    <xf numFmtId="0" fontId="4" fillId="0" borderId="6" xfId="1" applyFont="1" applyBorder="1">
      <alignment vertical="center"/>
    </xf>
    <xf numFmtId="0" fontId="4" fillId="0" borderId="7" xfId="1" applyFont="1" applyBorder="1">
      <alignment vertical="center"/>
    </xf>
    <xf numFmtId="0" fontId="4" fillId="0" borderId="8" xfId="1" applyFont="1" applyBorder="1">
      <alignment vertical="center"/>
    </xf>
    <xf numFmtId="38" fontId="4" fillId="0" borderId="8" xfId="2" applyFont="1" applyBorder="1">
      <alignment vertical="center"/>
    </xf>
    <xf numFmtId="0" fontId="4" fillId="0" borderId="9" xfId="1" applyFont="1" applyBorder="1">
      <alignment vertical="center"/>
    </xf>
    <xf numFmtId="0" fontId="4" fillId="0" borderId="10" xfId="1" applyFont="1" applyBorder="1">
      <alignment vertical="center"/>
    </xf>
    <xf numFmtId="0" fontId="4" fillId="0" borderId="11" xfId="1" applyFont="1" applyBorder="1">
      <alignment vertical="center"/>
    </xf>
    <xf numFmtId="38" fontId="4" fillId="0" borderId="11" xfId="2" applyFont="1" applyBorder="1">
      <alignment vertical="center"/>
    </xf>
    <xf numFmtId="0" fontId="4" fillId="0" borderId="12" xfId="1" applyFont="1" applyBorder="1">
      <alignment vertical="center"/>
    </xf>
    <xf numFmtId="38" fontId="4" fillId="0" borderId="0" xfId="1" applyNumberFormat="1" applyFont="1">
      <alignment vertical="center"/>
    </xf>
    <xf numFmtId="0" fontId="4" fillId="0" borderId="13" xfId="1" applyFont="1" applyBorder="1">
      <alignment vertical="center"/>
    </xf>
    <xf numFmtId="0" fontId="4" fillId="0" borderId="14" xfId="1" applyFont="1" applyBorder="1">
      <alignment vertical="center"/>
    </xf>
    <xf numFmtId="176" fontId="4" fillId="0" borderId="14" xfId="2" applyNumberFormat="1" applyFont="1" applyBorder="1">
      <alignment vertical="center"/>
    </xf>
    <xf numFmtId="0" fontId="4" fillId="0" borderId="15" xfId="1" applyFont="1" applyBorder="1">
      <alignment vertical="center"/>
    </xf>
    <xf numFmtId="0" fontId="4" fillId="0" borderId="16" xfId="1" applyFont="1" applyBorder="1">
      <alignment vertical="center"/>
    </xf>
    <xf numFmtId="0" fontId="4" fillId="0" borderId="17" xfId="1" applyFont="1" applyBorder="1">
      <alignment vertical="center"/>
    </xf>
    <xf numFmtId="176" fontId="4" fillId="0" borderId="17" xfId="2" applyNumberFormat="1" applyFont="1" applyBorder="1">
      <alignment vertical="center"/>
    </xf>
    <xf numFmtId="0" fontId="4" fillId="0" borderId="18" xfId="1" applyFont="1" applyBorder="1">
      <alignment vertical="center"/>
    </xf>
    <xf numFmtId="0" fontId="4" fillId="0" borderId="19" xfId="1" applyFont="1" applyBorder="1">
      <alignment vertical="center"/>
    </xf>
    <xf numFmtId="0" fontId="4" fillId="0" borderId="20" xfId="1" applyFont="1" applyBorder="1">
      <alignment vertical="center"/>
    </xf>
    <xf numFmtId="38" fontId="4" fillId="0" borderId="20" xfId="2" applyFont="1" applyBorder="1">
      <alignment vertical="center"/>
    </xf>
    <xf numFmtId="0" fontId="4" fillId="0" borderId="21" xfId="1" applyFont="1" applyBorder="1">
      <alignment vertical="center"/>
    </xf>
    <xf numFmtId="0" fontId="5" fillId="0" borderId="0" xfId="1" applyFont="1">
      <alignment vertical="center"/>
    </xf>
    <xf numFmtId="0" fontId="4" fillId="0" borderId="0" xfId="1" applyFont="1" applyAlignment="1">
      <alignment vertical="center"/>
    </xf>
    <xf numFmtId="0" fontId="4" fillId="0" borderId="22" xfId="1" applyFont="1" applyBorder="1">
      <alignment vertical="center"/>
    </xf>
    <xf numFmtId="0" fontId="4" fillId="0" borderId="0" xfId="1" applyFont="1" applyBorder="1">
      <alignment vertical="center"/>
    </xf>
    <xf numFmtId="0" fontId="4" fillId="0" borderId="23" xfId="1" applyFont="1" applyBorder="1">
      <alignment vertical="center"/>
    </xf>
    <xf numFmtId="0" fontId="4" fillId="0" borderId="24" xfId="1" applyFont="1" applyBorder="1">
      <alignment vertical="center"/>
    </xf>
    <xf numFmtId="0" fontId="4" fillId="0" borderId="25" xfId="1" applyFont="1" applyBorder="1">
      <alignment vertical="center"/>
    </xf>
    <xf numFmtId="0" fontId="4" fillId="0" borderId="26" xfId="1" applyFont="1" applyBorder="1">
      <alignment vertical="center"/>
    </xf>
    <xf numFmtId="0" fontId="4" fillId="0" borderId="27" xfId="1" applyFont="1" applyBorder="1">
      <alignment vertical="center"/>
    </xf>
    <xf numFmtId="0" fontId="4" fillId="0" borderId="28" xfId="1" applyFont="1" applyBorder="1">
      <alignment vertical="center"/>
    </xf>
    <xf numFmtId="38" fontId="4" fillId="2" borderId="29" xfId="1" applyNumberFormat="1" applyFont="1" applyFill="1" applyBorder="1">
      <alignment vertical="center"/>
    </xf>
    <xf numFmtId="0" fontId="4" fillId="2" borderId="30" xfId="1" applyFont="1" applyFill="1" applyBorder="1">
      <alignment vertical="center"/>
    </xf>
    <xf numFmtId="38" fontId="4" fillId="2" borderId="31" xfId="2" applyFont="1" applyFill="1" applyBorder="1">
      <alignment vertical="center"/>
    </xf>
    <xf numFmtId="0" fontId="4" fillId="2" borderId="32" xfId="1" applyFont="1" applyFill="1" applyBorder="1">
      <alignment vertical="center"/>
    </xf>
    <xf numFmtId="38" fontId="4" fillId="3" borderId="29" xfId="1" applyNumberFormat="1" applyFont="1" applyFill="1" applyBorder="1">
      <alignment vertical="center"/>
    </xf>
    <xf numFmtId="0" fontId="4" fillId="3" borderId="30" xfId="1" applyFont="1" applyFill="1" applyBorder="1">
      <alignment vertical="center"/>
    </xf>
    <xf numFmtId="38" fontId="4" fillId="3" borderId="31" xfId="2" applyFont="1" applyFill="1" applyBorder="1">
      <alignment vertical="center"/>
    </xf>
    <xf numFmtId="0" fontId="4" fillId="3" borderId="32" xfId="1" applyFont="1" applyFill="1" applyBorder="1">
      <alignment vertical="center"/>
    </xf>
    <xf numFmtId="38" fontId="4" fillId="0" borderId="7" xfId="2" applyFont="1" applyBorder="1">
      <alignment vertical="center"/>
    </xf>
    <xf numFmtId="38" fontId="4" fillId="5" borderId="29" xfId="1" applyNumberFormat="1" applyFont="1" applyFill="1" applyBorder="1">
      <alignment vertical="center"/>
    </xf>
    <xf numFmtId="0" fontId="4" fillId="5" borderId="30" xfId="1" applyFont="1" applyFill="1" applyBorder="1">
      <alignment vertical="center"/>
    </xf>
    <xf numFmtId="38" fontId="4" fillId="5" borderId="31" xfId="2" applyFont="1" applyFill="1" applyBorder="1">
      <alignment vertical="center"/>
    </xf>
    <xf numFmtId="0" fontId="4" fillId="5" borderId="32" xfId="1" applyFont="1" applyFill="1" applyBorder="1">
      <alignment vertical="center"/>
    </xf>
    <xf numFmtId="3" fontId="4" fillId="0" borderId="0" xfId="1" applyNumberFormat="1" applyFont="1">
      <alignment vertical="center"/>
    </xf>
    <xf numFmtId="38" fontId="4" fillId="0" borderId="0" xfId="1" applyNumberFormat="1" applyFont="1" applyFill="1" applyBorder="1">
      <alignment vertical="center"/>
    </xf>
    <xf numFmtId="0" fontId="4" fillId="0" borderId="0" xfId="1" applyFont="1" applyFill="1" applyBorder="1">
      <alignment vertical="center"/>
    </xf>
    <xf numFmtId="38" fontId="4" fillId="0" borderId="0" xfId="2" applyFont="1" applyFill="1" applyBorder="1">
      <alignment vertical="center"/>
    </xf>
    <xf numFmtId="0" fontId="4" fillId="0" borderId="34" xfId="1" applyFont="1" applyBorder="1">
      <alignment vertical="center"/>
    </xf>
    <xf numFmtId="38" fontId="4" fillId="0" borderId="34" xfId="2" applyFont="1" applyBorder="1">
      <alignment vertical="center"/>
    </xf>
    <xf numFmtId="38" fontId="4" fillId="0" borderId="22" xfId="2" applyFont="1" applyBorder="1">
      <alignment vertical="center"/>
    </xf>
    <xf numFmtId="38" fontId="4" fillId="0" borderId="0" xfId="2" applyFont="1" applyBorder="1">
      <alignment vertical="center"/>
    </xf>
    <xf numFmtId="38" fontId="4" fillId="0" borderId="19" xfId="2" applyFont="1" applyBorder="1">
      <alignment vertical="center"/>
    </xf>
    <xf numFmtId="0" fontId="4" fillId="0" borderId="0" xfId="1" applyFont="1" applyBorder="1" applyAlignment="1">
      <alignment vertical="center"/>
    </xf>
    <xf numFmtId="0" fontId="4" fillId="0" borderId="24" xfId="1" applyFont="1" applyBorder="1" applyAlignment="1">
      <alignment vertical="center"/>
    </xf>
    <xf numFmtId="38" fontId="4" fillId="4" borderId="35" xfId="2" applyFont="1" applyFill="1" applyBorder="1" applyProtection="1">
      <alignment vertical="center"/>
      <protection locked="0"/>
    </xf>
    <xf numFmtId="38" fontId="4" fillId="4" borderId="7" xfId="2" applyFont="1" applyFill="1" applyBorder="1" applyProtection="1">
      <alignment vertical="center"/>
      <protection locked="0"/>
    </xf>
    <xf numFmtId="38" fontId="4" fillId="4" borderId="7" xfId="2" applyFont="1" applyFill="1" applyBorder="1" applyProtection="1">
      <alignment vertical="center"/>
    </xf>
    <xf numFmtId="0" fontId="4" fillId="0" borderId="34"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20" xfId="0" applyFont="1" applyBorder="1">
      <alignment vertical="center"/>
    </xf>
    <xf numFmtId="0" fontId="4" fillId="0" borderId="8" xfId="2" applyNumberFormat="1" applyFont="1" applyBorder="1">
      <alignment vertical="center"/>
    </xf>
    <xf numFmtId="38" fontId="4" fillId="0" borderId="8" xfId="3" applyFont="1" applyBorder="1">
      <alignment vertical="center"/>
    </xf>
    <xf numFmtId="38" fontId="4" fillId="0" borderId="20" xfId="3" applyFont="1" applyBorder="1">
      <alignment vertical="center"/>
    </xf>
    <xf numFmtId="38" fontId="4" fillId="0" borderId="7" xfId="2" applyFont="1" applyBorder="1" applyProtection="1">
      <alignment vertical="center"/>
      <protection hidden="1"/>
    </xf>
    <xf numFmtId="38" fontId="4" fillId="6" borderId="29" xfId="1" applyNumberFormat="1" applyFont="1" applyFill="1" applyBorder="1">
      <alignment vertical="center"/>
    </xf>
    <xf numFmtId="0" fontId="4" fillId="6" borderId="30" xfId="1" applyFont="1" applyFill="1" applyBorder="1">
      <alignment vertical="center"/>
    </xf>
    <xf numFmtId="38" fontId="4" fillId="6" borderId="31" xfId="2" applyFont="1" applyFill="1" applyBorder="1">
      <alignment vertical="center"/>
    </xf>
    <xf numFmtId="0" fontId="4" fillId="6" borderId="32" xfId="1" applyFont="1" applyFill="1" applyBorder="1">
      <alignment vertical="center"/>
    </xf>
    <xf numFmtId="0" fontId="4" fillId="0" borderId="0" xfId="1" applyFont="1">
      <alignment vertical="center"/>
    </xf>
    <xf numFmtId="176" fontId="4" fillId="0" borderId="0" xfId="2" applyNumberFormat="1" applyFont="1">
      <alignment vertical="center"/>
    </xf>
    <xf numFmtId="38" fontId="4" fillId="0" borderId="7" xfId="2" applyFont="1" applyBorder="1" applyProtection="1">
      <alignment vertical="center"/>
      <protection locked="0"/>
    </xf>
    <xf numFmtId="38" fontId="4" fillId="0" borderId="22" xfId="2" applyFont="1" applyBorder="1" applyProtection="1">
      <alignment vertical="center"/>
      <protection locked="0"/>
    </xf>
    <xf numFmtId="38" fontId="4" fillId="2" borderId="16" xfId="1" applyNumberFormat="1" applyFont="1" applyFill="1" applyBorder="1">
      <alignment vertical="center"/>
    </xf>
    <xf numFmtId="0" fontId="4" fillId="2" borderId="17" xfId="1" applyFont="1" applyFill="1" applyBorder="1">
      <alignment vertical="center"/>
    </xf>
    <xf numFmtId="38" fontId="4" fillId="2" borderId="33" xfId="2" applyFont="1" applyFill="1" applyBorder="1">
      <alignment vertical="center"/>
    </xf>
    <xf numFmtId="0" fontId="4" fillId="2" borderId="18" xfId="1" applyFont="1" applyFill="1" applyBorder="1">
      <alignment vertical="center"/>
    </xf>
    <xf numFmtId="38" fontId="4" fillId="0" borderId="19" xfId="2" applyFont="1" applyBorder="1" applyProtection="1">
      <alignment vertical="center"/>
      <protection locked="0"/>
    </xf>
    <xf numFmtId="38" fontId="4" fillId="4" borderId="16" xfId="2" applyFont="1" applyFill="1" applyBorder="1" applyProtection="1">
      <alignment vertical="center"/>
      <protection locked="0"/>
    </xf>
    <xf numFmtId="0" fontId="2" fillId="0" borderId="0" xfId="1" applyAlignment="1">
      <alignment horizontal="right" vertical="center"/>
    </xf>
    <xf numFmtId="0" fontId="4" fillId="0" borderId="0" xfId="1" applyFont="1" applyBorder="1" applyAlignment="1">
      <alignment horizontal="right" vertical="center"/>
    </xf>
    <xf numFmtId="0" fontId="0" fillId="0" borderId="0" xfId="0" applyAlignment="1">
      <alignment horizontal="right" vertical="center"/>
    </xf>
    <xf numFmtId="0" fontId="7" fillId="0" borderId="0" xfId="0" applyFont="1">
      <alignment vertical="center"/>
    </xf>
    <xf numFmtId="0" fontId="8" fillId="0" borderId="0" xfId="0" applyFont="1">
      <alignment vertical="center"/>
    </xf>
    <xf numFmtId="0" fontId="9" fillId="0" borderId="0" xfId="1" applyFont="1">
      <alignment vertical="center"/>
    </xf>
    <xf numFmtId="0" fontId="0" fillId="6" borderId="0" xfId="0" applyFill="1">
      <alignment vertical="center"/>
    </xf>
    <xf numFmtId="56" fontId="0" fillId="0" borderId="0" xfId="0" applyNumberFormat="1">
      <alignment vertical="center"/>
    </xf>
    <xf numFmtId="38" fontId="0" fillId="0" borderId="0" xfId="0" applyNumberFormat="1">
      <alignment vertical="center"/>
    </xf>
    <xf numFmtId="38" fontId="0" fillId="8" borderId="0" xfId="3" applyFont="1" applyFill="1">
      <alignment vertical="center"/>
    </xf>
    <xf numFmtId="38" fontId="0" fillId="0" borderId="0" xfId="3" applyFont="1">
      <alignment vertical="center"/>
    </xf>
    <xf numFmtId="38" fontId="0" fillId="6" borderId="0" xfId="3" applyFont="1" applyFill="1">
      <alignment vertical="center"/>
    </xf>
    <xf numFmtId="0" fontId="12" fillId="0" borderId="0" xfId="0" applyFont="1">
      <alignment vertical="center"/>
    </xf>
    <xf numFmtId="0" fontId="0" fillId="8" borderId="0" xfId="0" applyFill="1">
      <alignment vertical="center"/>
    </xf>
    <xf numFmtId="0" fontId="13" fillId="7" borderId="50" xfId="0" applyFont="1" applyFill="1" applyBorder="1" applyAlignment="1">
      <alignment horizontal="center" vertical="center" shrinkToFit="1"/>
    </xf>
    <xf numFmtId="0" fontId="14" fillId="8" borderId="51" xfId="0" applyFont="1" applyFill="1" applyBorder="1" applyAlignment="1" applyProtection="1">
      <alignment horizontal="center" vertical="center" shrinkToFit="1"/>
      <protection locked="0"/>
    </xf>
    <xf numFmtId="0" fontId="14" fillId="0" borderId="0" xfId="0" applyFont="1" applyAlignment="1">
      <alignment vertical="center"/>
    </xf>
    <xf numFmtId="0" fontId="13" fillId="0" borderId="0" xfId="0" applyFont="1" applyAlignment="1">
      <alignment vertical="center" shrinkToFit="1"/>
    </xf>
    <xf numFmtId="0" fontId="13" fillId="0" borderId="0" xfId="0" applyFont="1" applyFill="1" applyAlignment="1">
      <alignment vertical="center" shrinkToFit="1"/>
    </xf>
    <xf numFmtId="0" fontId="14" fillId="0" borderId="0" xfId="0" quotePrefix="1" applyFont="1" applyAlignment="1">
      <alignment horizontal="right" vertical="center"/>
    </xf>
    <xf numFmtId="0" fontId="14" fillId="0" borderId="0" xfId="0" applyFont="1" applyAlignment="1">
      <alignment horizontal="right" vertical="center" shrinkToFit="1"/>
    </xf>
    <xf numFmtId="0" fontId="14" fillId="10" borderId="0" xfId="0" applyFont="1" applyFill="1" applyAlignment="1">
      <alignment vertical="center" shrinkToFit="1"/>
    </xf>
    <xf numFmtId="0" fontId="14" fillId="0" borderId="0" xfId="0" applyFont="1" applyAlignment="1">
      <alignment horizontal="right" vertical="center"/>
    </xf>
    <xf numFmtId="0" fontId="14" fillId="0" borderId="0" xfId="0" applyFont="1" applyFill="1" applyAlignment="1">
      <alignment horizontal="right" vertical="center"/>
    </xf>
    <xf numFmtId="0" fontId="13" fillId="7" borderId="38" xfId="0" applyFont="1" applyFill="1" applyBorder="1" applyAlignment="1">
      <alignment horizontal="center" vertical="center" shrinkToFit="1"/>
    </xf>
    <xf numFmtId="0" fontId="13" fillId="7" borderId="40"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0" xfId="0" applyFont="1" applyFill="1" applyBorder="1" applyAlignment="1" applyProtection="1">
      <alignment horizontal="center" vertical="center" shrinkToFit="1"/>
    </xf>
    <xf numFmtId="0" fontId="13" fillId="9" borderId="50" xfId="0" applyFont="1" applyFill="1" applyBorder="1" applyAlignment="1">
      <alignment horizontal="center" vertical="center" shrinkToFit="1"/>
    </xf>
    <xf numFmtId="0" fontId="13" fillId="8" borderId="51" xfId="0" applyFont="1" applyFill="1" applyBorder="1" applyAlignment="1" applyProtection="1">
      <alignment horizontal="center" vertical="center" shrinkToFit="1"/>
      <protection locked="0"/>
    </xf>
    <xf numFmtId="0" fontId="13" fillId="12" borderId="52" xfId="0" applyFont="1" applyFill="1" applyBorder="1" applyAlignment="1" applyProtection="1">
      <alignment vertical="center" shrinkToFit="1"/>
      <protection locked="0"/>
    </xf>
    <xf numFmtId="0" fontId="13" fillId="0" borderId="53" xfId="0" applyFont="1" applyFill="1" applyBorder="1" applyAlignment="1" applyProtection="1">
      <alignment vertical="center" shrinkToFit="1"/>
      <protection locked="0"/>
    </xf>
    <xf numFmtId="0" fontId="13" fillId="0" borderId="54"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xf>
    <xf numFmtId="0" fontId="13" fillId="0" borderId="43" xfId="0" applyFont="1" applyBorder="1" applyAlignment="1">
      <alignment vertical="center" shrinkToFit="1"/>
    </xf>
    <xf numFmtId="0" fontId="14" fillId="11" borderId="0" xfId="0" applyFont="1" applyFill="1" applyAlignment="1">
      <alignment vertical="center" shrinkToFit="1"/>
    </xf>
    <xf numFmtId="0" fontId="13" fillId="0" borderId="0" xfId="0" applyFont="1" applyBorder="1" applyAlignment="1">
      <alignment vertical="center" shrinkToFit="1"/>
    </xf>
    <xf numFmtId="0" fontId="13" fillId="0" borderId="0" xfId="0" applyFont="1" applyFill="1" applyBorder="1" applyAlignment="1">
      <alignment horizontal="left" vertical="center"/>
    </xf>
    <xf numFmtId="0" fontId="13" fillId="0" borderId="38" xfId="0" applyFont="1" applyBorder="1" applyAlignment="1">
      <alignment horizontal="center" vertical="center" shrinkToFit="1"/>
    </xf>
    <xf numFmtId="38" fontId="13" fillId="0" borderId="39" xfId="3" applyFont="1" applyBorder="1" applyAlignment="1">
      <alignment horizontal="right" vertical="center" shrinkToFit="1"/>
    </xf>
    <xf numFmtId="38" fontId="13" fillId="0" borderId="44" xfId="3" applyFont="1" applyBorder="1" applyAlignment="1">
      <alignment horizontal="right" vertical="center" shrinkToFit="1"/>
    </xf>
    <xf numFmtId="0" fontId="13" fillId="0" borderId="38" xfId="0" applyFont="1" applyBorder="1" applyAlignment="1">
      <alignment vertical="center" shrinkToFit="1"/>
    </xf>
    <xf numFmtId="38" fontId="13" fillId="0" borderId="0" xfId="0" applyNumberFormat="1" applyFont="1" applyBorder="1" applyAlignment="1">
      <alignment vertical="center" shrinkToFit="1"/>
    </xf>
    <xf numFmtId="38" fontId="13" fillId="0" borderId="0" xfId="0" applyNumberFormat="1" applyFont="1" applyFill="1" applyBorder="1" applyAlignment="1">
      <alignment vertical="center" shrinkToFit="1"/>
    </xf>
    <xf numFmtId="38" fontId="13" fillId="0" borderId="49" xfId="0" applyNumberFormat="1" applyFont="1" applyBorder="1" applyAlignment="1">
      <alignment vertical="center" shrinkToFit="1"/>
    </xf>
    <xf numFmtId="0" fontId="14" fillId="7" borderId="40" xfId="0" applyFont="1" applyFill="1" applyBorder="1" applyAlignment="1">
      <alignment horizontal="center" vertical="center" shrinkToFit="1"/>
    </xf>
    <xf numFmtId="38" fontId="13" fillId="0" borderId="38" xfId="3" applyFont="1" applyBorder="1" applyAlignment="1">
      <alignment horizontal="right" vertical="center" shrinkToFit="1"/>
    </xf>
    <xf numFmtId="38" fontId="14" fillId="0" borderId="0" xfId="0" applyNumberFormat="1" applyFont="1" applyFill="1" applyBorder="1" applyAlignment="1">
      <alignment vertical="center" shrinkToFit="1"/>
    </xf>
    <xf numFmtId="0" fontId="14" fillId="7" borderId="38" xfId="0" applyFont="1" applyFill="1" applyBorder="1" applyAlignment="1">
      <alignment horizontal="center" vertical="center" shrinkToFit="1"/>
    </xf>
    <xf numFmtId="38" fontId="15" fillId="0" borderId="39" xfId="3" applyFont="1" applyBorder="1" applyAlignment="1">
      <alignment horizontal="right" vertical="center" shrinkToFit="1"/>
    </xf>
    <xf numFmtId="38" fontId="14" fillId="0" borderId="0" xfId="0" applyNumberFormat="1" applyFont="1" applyAlignment="1">
      <alignment vertical="center"/>
    </xf>
    <xf numFmtId="38" fontId="14" fillId="0" borderId="0" xfId="0" applyNumberFormat="1" applyFont="1" applyFill="1" applyAlignment="1">
      <alignment vertical="center"/>
    </xf>
    <xf numFmtId="38" fontId="14" fillId="0" borderId="54" xfId="0" applyNumberFormat="1" applyFont="1" applyBorder="1" applyAlignment="1">
      <alignment vertical="center" shrinkToFit="1"/>
    </xf>
    <xf numFmtId="0" fontId="13" fillId="0" borderId="0" xfId="0" applyFont="1" applyAlignment="1">
      <alignment horizontal="left" vertical="center" shrinkToFit="1"/>
    </xf>
    <xf numFmtId="0" fontId="13" fillId="0" borderId="0" xfId="0" applyFont="1" applyAlignment="1">
      <alignment vertical="center"/>
    </xf>
    <xf numFmtId="0" fontId="13" fillId="0" borderId="45" xfId="0" applyFont="1" applyBorder="1" applyAlignment="1" applyProtection="1">
      <alignment vertical="center" shrinkToFit="1"/>
      <protection locked="0"/>
    </xf>
    <xf numFmtId="0" fontId="13" fillId="0" borderId="46" xfId="0" applyFont="1" applyBorder="1" applyAlignment="1" applyProtection="1">
      <alignment vertical="center" shrinkToFit="1"/>
      <protection locked="0"/>
    </xf>
    <xf numFmtId="0" fontId="13" fillId="0" borderId="47" xfId="0" applyFont="1" applyBorder="1" applyAlignment="1" applyProtection="1">
      <alignment vertical="center" shrinkToFit="1"/>
      <protection locked="0"/>
    </xf>
    <xf numFmtId="38" fontId="13" fillId="0" borderId="48" xfId="0" applyNumberFormat="1" applyFont="1" applyBorder="1" applyAlignment="1">
      <alignment vertical="center" shrinkToFit="1"/>
    </xf>
    <xf numFmtId="38" fontId="13" fillId="0" borderId="0" xfId="0" applyNumberFormat="1" applyFont="1" applyAlignment="1">
      <alignment vertical="center" shrinkToFit="1"/>
    </xf>
    <xf numFmtId="0" fontId="13" fillId="7" borderId="38" xfId="0" applyFont="1" applyFill="1" applyBorder="1" applyAlignment="1">
      <alignment vertical="center" shrinkToFit="1"/>
    </xf>
    <xf numFmtId="0" fontId="13" fillId="7" borderId="40" xfId="0" applyFont="1" applyFill="1" applyBorder="1" applyAlignment="1">
      <alignment vertical="center" shrinkToFit="1"/>
    </xf>
    <xf numFmtId="38" fontId="13" fillId="0" borderId="38" xfId="3" applyFont="1" applyBorder="1" applyAlignment="1">
      <alignment vertical="center" shrinkToFit="1"/>
    </xf>
    <xf numFmtId="10" fontId="13" fillId="0" borderId="38" xfId="0" applyNumberFormat="1" applyFont="1" applyBorder="1" applyAlignment="1">
      <alignment vertical="center" shrinkToFit="1"/>
    </xf>
    <xf numFmtId="0" fontId="13" fillId="0" borderId="38" xfId="0" applyNumberFormat="1" applyFont="1" applyBorder="1" applyAlignment="1">
      <alignment vertical="center" shrinkToFit="1"/>
    </xf>
    <xf numFmtId="0" fontId="13" fillId="7" borderId="43" xfId="0" applyFont="1" applyFill="1" applyBorder="1" applyAlignment="1">
      <alignment vertical="center" shrinkToFit="1"/>
    </xf>
    <xf numFmtId="38" fontId="13" fillId="0" borderId="0" xfId="3" applyFont="1">
      <alignment vertical="center"/>
    </xf>
    <xf numFmtId="38" fontId="13" fillId="0" borderId="0" xfId="3" applyFont="1" applyFill="1">
      <alignment vertical="center"/>
    </xf>
    <xf numFmtId="38" fontId="13" fillId="8" borderId="0" xfId="3" applyFont="1" applyFill="1" applyProtection="1">
      <alignment vertical="center"/>
      <protection locked="0"/>
    </xf>
    <xf numFmtId="0" fontId="13" fillId="0" borderId="0" xfId="0" applyFont="1">
      <alignment vertical="center"/>
    </xf>
    <xf numFmtId="0" fontId="13" fillId="7" borderId="38" xfId="0" applyFont="1" applyFill="1" applyBorder="1">
      <alignment vertical="center"/>
    </xf>
    <xf numFmtId="0" fontId="13" fillId="0" borderId="38" xfId="0" applyFont="1" applyBorder="1">
      <alignment vertical="center"/>
    </xf>
    <xf numFmtId="10" fontId="13" fillId="0" borderId="38" xfId="0" applyNumberFormat="1" applyFont="1" applyBorder="1">
      <alignment vertical="center"/>
    </xf>
    <xf numFmtId="38" fontId="13" fillId="0" borderId="38" xfId="3" applyFont="1" applyBorder="1">
      <alignment vertical="center"/>
    </xf>
    <xf numFmtId="0" fontId="11" fillId="8" borderId="51" xfId="0" applyFont="1" applyFill="1" applyBorder="1" applyAlignment="1" applyProtection="1">
      <alignment horizontal="center" vertical="center" shrinkToFit="1"/>
      <protection locked="0"/>
    </xf>
    <xf numFmtId="0" fontId="13" fillId="7" borderId="40" xfId="0" applyFont="1" applyFill="1" applyBorder="1" applyAlignment="1">
      <alignment horizontal="center" vertical="center" shrinkToFit="1"/>
    </xf>
    <xf numFmtId="0" fontId="13" fillId="7" borderId="42" xfId="0" applyFont="1" applyFill="1" applyBorder="1" applyAlignment="1">
      <alignment horizontal="center" vertical="center" shrinkToFit="1"/>
    </xf>
    <xf numFmtId="0" fontId="13" fillId="7" borderId="41" xfId="0" applyFont="1" applyFill="1" applyBorder="1" applyAlignment="1">
      <alignment horizontal="center" vertical="center" shrinkToFit="1"/>
    </xf>
    <xf numFmtId="0" fontId="13" fillId="7" borderId="38" xfId="0" applyFont="1" applyFill="1" applyBorder="1" applyAlignment="1">
      <alignment horizontal="center" vertical="center" shrinkToFit="1"/>
    </xf>
    <xf numFmtId="0" fontId="13" fillId="0" borderId="0" xfId="0" applyFont="1" applyBorder="1" applyAlignment="1">
      <alignment horizontal="center" vertical="center" shrinkToFit="1"/>
    </xf>
    <xf numFmtId="0" fontId="13" fillId="7" borderId="0" xfId="0" applyFont="1" applyFill="1" applyBorder="1" applyAlignment="1">
      <alignment horizontal="center" vertical="center" shrinkToFit="1"/>
    </xf>
    <xf numFmtId="0" fontId="13" fillId="9" borderId="0" xfId="0" applyFont="1" applyFill="1" applyBorder="1" applyAlignment="1">
      <alignment horizontal="center" vertical="center" shrinkToFit="1"/>
    </xf>
    <xf numFmtId="0" fontId="13" fillId="0" borderId="39" xfId="0" applyFont="1" applyBorder="1" applyAlignment="1">
      <alignment horizontal="center" vertical="center" shrinkToFit="1"/>
    </xf>
    <xf numFmtId="0" fontId="13" fillId="7" borderId="39" xfId="0" applyFont="1" applyFill="1" applyBorder="1" applyAlignment="1">
      <alignment horizontal="center" vertical="center" shrinkToFit="1"/>
    </xf>
    <xf numFmtId="0" fontId="14" fillId="7" borderId="39" xfId="0" applyFont="1" applyFill="1" applyBorder="1" applyAlignment="1">
      <alignment horizontal="center" vertical="center" shrinkToFit="1"/>
    </xf>
    <xf numFmtId="0" fontId="13" fillId="0" borderId="55" xfId="0" applyFont="1" applyBorder="1" applyAlignment="1">
      <alignment horizontal="center" vertical="center" shrinkToFit="1"/>
    </xf>
    <xf numFmtId="0" fontId="14" fillId="7" borderId="0" xfId="0" applyFont="1" applyFill="1" applyBorder="1" applyAlignment="1">
      <alignment horizontal="center" vertical="center" shrinkToFit="1"/>
    </xf>
    <xf numFmtId="0" fontId="10" fillId="7" borderId="40" xfId="0" applyFont="1" applyFill="1" applyBorder="1" applyAlignment="1">
      <alignment horizontal="center" vertical="center" shrinkToFit="1"/>
    </xf>
    <xf numFmtId="0" fontId="10" fillId="0" borderId="0" xfId="0" applyFont="1" applyAlignment="1">
      <alignment vertical="center" shrinkToFit="1"/>
    </xf>
    <xf numFmtId="0" fontId="10" fillId="7" borderId="50" xfId="0" applyFont="1" applyFill="1" applyBorder="1" applyAlignment="1">
      <alignment horizontal="center" vertical="center" shrinkToFit="1"/>
    </xf>
    <xf numFmtId="0" fontId="11" fillId="10" borderId="0" xfId="0" applyFont="1" applyFill="1" applyAlignment="1">
      <alignment vertical="center" shrinkToFit="1"/>
    </xf>
    <xf numFmtId="0" fontId="17" fillId="0" borderId="0" xfId="0" applyFont="1">
      <alignment vertical="center"/>
    </xf>
    <xf numFmtId="0" fontId="17" fillId="6" borderId="0" xfId="0" applyFont="1" applyFill="1">
      <alignment vertical="center"/>
    </xf>
    <xf numFmtId="0" fontId="17" fillId="0" borderId="0" xfId="0" applyFont="1" applyBorder="1">
      <alignment vertical="center"/>
    </xf>
    <xf numFmtId="38" fontId="17" fillId="6" borderId="0" xfId="3" applyFont="1" applyFill="1" applyBorder="1" applyAlignment="1">
      <alignment vertical="center" shrinkToFit="1"/>
    </xf>
    <xf numFmtId="38" fontId="17" fillId="0" borderId="0" xfId="3" applyFont="1" applyBorder="1" applyAlignment="1">
      <alignment vertical="center" shrinkToFit="1"/>
    </xf>
    <xf numFmtId="0" fontId="17" fillId="0" borderId="57" xfId="0" applyFont="1" applyBorder="1">
      <alignment vertical="center"/>
    </xf>
    <xf numFmtId="0" fontId="17" fillId="0" borderId="58" xfId="0" applyFont="1" applyBorder="1">
      <alignment vertical="center"/>
    </xf>
    <xf numFmtId="0" fontId="17" fillId="0" borderId="59" xfId="0" applyFont="1" applyBorder="1">
      <alignment vertical="center"/>
    </xf>
    <xf numFmtId="0" fontId="17" fillId="0" borderId="60" xfId="0" applyFont="1" applyBorder="1">
      <alignment vertical="center"/>
    </xf>
    <xf numFmtId="0" fontId="17" fillId="0" borderId="61" xfId="0" applyFont="1" applyBorder="1">
      <alignment vertical="center"/>
    </xf>
    <xf numFmtId="38" fontId="17" fillId="0" borderId="60" xfId="0" applyNumberFormat="1" applyFont="1" applyBorder="1">
      <alignment vertical="center"/>
    </xf>
    <xf numFmtId="38" fontId="17" fillId="0" borderId="60" xfId="3" applyFont="1" applyBorder="1">
      <alignment vertical="center"/>
    </xf>
    <xf numFmtId="0" fontId="13" fillId="0" borderId="60" xfId="0" applyFont="1" applyBorder="1" applyAlignment="1">
      <alignment vertical="center" shrinkToFit="1"/>
    </xf>
    <xf numFmtId="0" fontId="13" fillId="0" borderId="61" xfId="0" applyFont="1" applyBorder="1" applyAlignment="1">
      <alignment vertical="center" shrinkToFit="1"/>
    </xf>
    <xf numFmtId="0" fontId="13" fillId="0" borderId="62" xfId="0" applyFont="1" applyBorder="1" applyAlignment="1">
      <alignment vertical="center" shrinkToFit="1"/>
    </xf>
    <xf numFmtId="0" fontId="13" fillId="0" borderId="63" xfId="0" applyFont="1" applyBorder="1" applyAlignment="1">
      <alignment vertical="center" shrinkToFit="1"/>
    </xf>
    <xf numFmtId="0" fontId="17" fillId="0" borderId="63" xfId="0" applyFont="1" applyBorder="1">
      <alignment vertical="center"/>
    </xf>
    <xf numFmtId="0" fontId="13" fillId="0" borderId="64" xfId="0" applyFont="1" applyBorder="1" applyAlignment="1">
      <alignment vertical="center" shrinkToFit="1"/>
    </xf>
    <xf numFmtId="177" fontId="13" fillId="7" borderId="40"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7" borderId="56" xfId="0" applyFont="1" applyFill="1" applyBorder="1" applyAlignment="1">
      <alignment horizontal="center" vertical="center" shrinkToFit="1"/>
    </xf>
    <xf numFmtId="38" fontId="13" fillId="0" borderId="0" xfId="3" applyFont="1" applyFill="1" applyBorder="1" applyAlignment="1" applyProtection="1">
      <alignment horizontal="right" vertical="center" shrinkToFit="1"/>
    </xf>
    <xf numFmtId="0" fontId="10" fillId="0" borderId="0" xfId="0" applyFont="1" applyBorder="1" applyAlignment="1">
      <alignment vertical="center" shrinkToFit="1"/>
    </xf>
    <xf numFmtId="0" fontId="15" fillId="0" borderId="0" xfId="0" applyFont="1" applyAlignment="1">
      <alignment vertical="center"/>
    </xf>
    <xf numFmtId="38" fontId="10" fillId="0" borderId="65" xfId="0" applyNumberFormat="1" applyFont="1" applyBorder="1" applyAlignment="1">
      <alignment horizontal="right" vertical="center"/>
    </xf>
    <xf numFmtId="0" fontId="13" fillId="0" borderId="0" xfId="0" applyFont="1" applyAlignment="1">
      <alignment horizontal="right" vertical="center" shrinkToFit="1"/>
    </xf>
    <xf numFmtId="38" fontId="13" fillId="0" borderId="0" xfId="0" applyNumberFormat="1" applyFont="1" applyBorder="1" applyAlignment="1">
      <alignment horizontal="right" vertical="center" shrinkToFit="1"/>
    </xf>
    <xf numFmtId="0" fontId="13" fillId="0" borderId="55" xfId="0" applyFont="1" applyFill="1" applyBorder="1" applyAlignment="1">
      <alignment vertical="center" shrinkToFit="1"/>
    </xf>
    <xf numFmtId="0" fontId="13" fillId="0" borderId="0" xfId="0" applyFont="1" applyAlignment="1">
      <alignment horizontal="left" vertical="top" wrapText="1" shrinkToFit="1"/>
    </xf>
    <xf numFmtId="0" fontId="13" fillId="0" borderId="0" xfId="0" applyFont="1" applyAlignment="1">
      <alignment horizontal="left" vertical="top" shrinkToFit="1"/>
    </xf>
    <xf numFmtId="0" fontId="11" fillId="7" borderId="50" xfId="0" applyFont="1" applyFill="1" applyBorder="1" applyAlignment="1">
      <alignment horizontal="center" vertical="center" shrinkToFit="1"/>
    </xf>
    <xf numFmtId="0" fontId="11" fillId="7" borderId="39" xfId="0" applyFont="1" applyFill="1" applyBorder="1" applyAlignment="1">
      <alignment horizontal="center" vertical="center" shrinkToFit="1"/>
    </xf>
    <xf numFmtId="38" fontId="14" fillId="0" borderId="50" xfId="0" applyNumberFormat="1" applyFont="1" applyBorder="1" applyAlignment="1">
      <alignment horizontal="center" vertical="center" shrinkToFit="1"/>
    </xf>
    <xf numFmtId="38" fontId="14" fillId="0" borderId="39" xfId="0" applyNumberFormat="1" applyFont="1" applyBorder="1" applyAlignment="1">
      <alignment horizontal="center" vertical="center" shrinkToFit="1"/>
    </xf>
    <xf numFmtId="38" fontId="13" fillId="7" borderId="38" xfId="3" applyFont="1" applyFill="1" applyBorder="1" applyAlignment="1">
      <alignment horizontal="center" vertical="center" shrinkToFit="1"/>
    </xf>
    <xf numFmtId="0" fontId="13" fillId="7" borderId="0" xfId="0" applyFont="1" applyFill="1" applyBorder="1" applyAlignment="1">
      <alignment horizontal="center" vertical="center" shrinkToFit="1"/>
    </xf>
    <xf numFmtId="0" fontId="13" fillId="7" borderId="38" xfId="0" applyFont="1" applyFill="1" applyBorder="1" applyAlignment="1">
      <alignment horizontal="center" vertical="center" shrinkToFit="1"/>
    </xf>
    <xf numFmtId="0" fontId="13" fillId="7" borderId="40" xfId="0" applyFont="1" applyFill="1" applyBorder="1" applyAlignment="1">
      <alignment horizontal="center" vertical="center" shrinkToFit="1"/>
    </xf>
    <xf numFmtId="0" fontId="13" fillId="7" borderId="42" xfId="0" applyFont="1" applyFill="1" applyBorder="1" applyAlignment="1">
      <alignment horizontal="center" vertical="center" shrinkToFit="1"/>
    </xf>
    <xf numFmtId="0" fontId="13" fillId="7" borderId="41" xfId="0" applyFont="1" applyFill="1" applyBorder="1" applyAlignment="1">
      <alignment horizontal="center" vertical="center" shrinkToFit="1"/>
    </xf>
    <xf numFmtId="38" fontId="13" fillId="7" borderId="0" xfId="3" applyFont="1" applyFill="1" applyBorder="1" applyAlignment="1">
      <alignment horizontal="center" vertical="center" shrinkToFit="1"/>
    </xf>
    <xf numFmtId="38" fontId="14" fillId="7" borderId="52" xfId="3" applyFont="1" applyFill="1" applyBorder="1" applyAlignment="1">
      <alignment horizontal="center" vertical="center" shrinkToFit="1"/>
    </xf>
    <xf numFmtId="38" fontId="14" fillId="7" borderId="53" xfId="3" applyFont="1" applyFill="1" applyBorder="1" applyAlignment="1">
      <alignment horizontal="center" vertical="center" shrinkToFit="1"/>
    </xf>
    <xf numFmtId="0" fontId="13" fillId="0" borderId="42" xfId="0" applyFont="1" applyBorder="1" applyAlignment="1">
      <alignment horizontal="center" vertical="center" shrinkToFit="1"/>
    </xf>
    <xf numFmtId="0" fontId="4" fillId="0" borderId="22" xfId="1" applyFont="1" applyBorder="1" applyAlignment="1">
      <alignment horizontal="center" vertical="center"/>
    </xf>
    <xf numFmtId="0" fontId="4" fillId="0" borderId="0" xfId="1" applyFont="1" applyBorder="1" applyAlignment="1">
      <alignment horizontal="center" vertical="center"/>
    </xf>
    <xf numFmtId="0" fontId="4" fillId="0" borderId="24"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38" fontId="4" fillId="0" borderId="36" xfId="1" applyNumberFormat="1" applyFont="1" applyBorder="1" applyAlignment="1">
      <alignment horizontal="right" vertical="center"/>
    </xf>
    <xf numFmtId="38" fontId="4" fillId="0" borderId="23" xfId="1" applyNumberFormat="1" applyFont="1" applyBorder="1" applyAlignment="1">
      <alignment horizontal="right" vertical="center"/>
    </xf>
    <xf numFmtId="38" fontId="4" fillId="0" borderId="33" xfId="1" applyNumberFormat="1" applyFont="1" applyBorder="1" applyAlignment="1">
      <alignment horizontal="right" vertical="center"/>
    </xf>
    <xf numFmtId="0" fontId="4" fillId="0" borderId="12" xfId="1" applyFont="1" applyBorder="1" applyAlignment="1">
      <alignment horizontal="center" vertical="center"/>
    </xf>
    <xf numFmtId="0" fontId="4" fillId="0" borderId="18" xfId="1" applyFont="1" applyBorder="1" applyAlignment="1">
      <alignment horizontal="center" vertical="center"/>
    </xf>
    <xf numFmtId="38" fontId="4" fillId="0" borderId="31" xfId="1" applyNumberFormat="1" applyFont="1" applyBorder="1" applyAlignment="1">
      <alignment horizontal="right" vertical="center"/>
    </xf>
    <xf numFmtId="0" fontId="4" fillId="0" borderId="32" xfId="1" applyFont="1" applyBorder="1" applyAlignment="1">
      <alignment horizontal="center" vertical="center"/>
    </xf>
    <xf numFmtId="38" fontId="4" fillId="0" borderId="37" xfId="1" applyNumberFormat="1" applyFont="1" applyBorder="1" applyAlignment="1">
      <alignment horizontal="right" vertical="center"/>
    </xf>
    <xf numFmtId="38" fontId="4" fillId="0" borderId="36" xfId="1" applyNumberFormat="1" applyFont="1" applyBorder="1" applyAlignment="1">
      <alignment horizontal="center" vertical="center"/>
    </xf>
    <xf numFmtId="38" fontId="4" fillId="0" borderId="23" xfId="1" applyNumberFormat="1" applyFont="1" applyBorder="1" applyAlignment="1">
      <alignment horizontal="center" vertical="center"/>
    </xf>
    <xf numFmtId="38" fontId="4" fillId="0" borderId="31" xfId="1" applyNumberFormat="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16" fillId="8" borderId="38" xfId="0" applyFont="1" applyFill="1" applyBorder="1" applyAlignment="1" applyProtection="1">
      <alignment horizontal="center" vertical="center" shrinkToFit="1"/>
      <protection locked="0"/>
    </xf>
    <xf numFmtId="38" fontId="13" fillId="8" borderId="38" xfId="3" applyFont="1" applyFill="1" applyBorder="1" applyAlignment="1" applyProtection="1">
      <alignment vertical="center" shrinkToFit="1"/>
      <protection locked="0"/>
    </xf>
    <xf numFmtId="178" fontId="16" fillId="8" borderId="38" xfId="3" applyNumberFormat="1" applyFont="1" applyFill="1" applyBorder="1" applyAlignment="1" applyProtection="1">
      <alignment horizontal="center" vertical="center" shrinkToFit="1"/>
      <protection locked="0"/>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colors>
    <mruColors>
      <color rgb="FFFFFF99"/>
      <color rgb="FF00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0</xdr:colOff>
      <xdr:row>4</xdr:row>
      <xdr:rowOff>0</xdr:rowOff>
    </xdr:to>
    <xdr:sp macro="" textlink="">
      <xdr:nvSpPr>
        <xdr:cNvPr id="2" name="テキスト ボックス 1"/>
        <xdr:cNvSpPr txBox="1"/>
      </xdr:nvSpPr>
      <xdr:spPr>
        <a:xfrm>
          <a:off x="0" y="0"/>
          <a:ext cx="11296650" cy="3162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ja-JP" altLang="en-US" sz="1200" b="1" i="0" u="none" strike="noStrike">
              <a:solidFill>
                <a:schemeClr val="dk1"/>
              </a:solidFill>
              <a:latin typeface="ＭＳ ゴシック" pitchFamily="49" charset="-128"/>
              <a:ea typeface="ＭＳ ゴシック" pitchFamily="49" charset="-128"/>
              <a:cs typeface="+mn-cs"/>
            </a:rPr>
            <a:t>柏原市国民健康保険料　試算表</a:t>
          </a:r>
          <a:endParaRPr lang="en-US" altLang="ja-JP" sz="1200" b="1" i="0" u="none" strike="noStrike">
            <a:solidFill>
              <a:schemeClr val="dk1"/>
            </a:solidFill>
            <a:latin typeface="ＭＳ ゴシック" pitchFamily="49" charset="-128"/>
            <a:ea typeface="ＭＳ ゴシック" pitchFamily="49"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a:t>
          </a:r>
          <a:r>
            <a:rPr lang="ja-JP" altLang="en-US" sz="1050" b="1" i="0" u="none" strike="noStrike">
              <a:solidFill>
                <a:schemeClr val="dk1"/>
              </a:solidFill>
              <a:latin typeface="ＭＳ ゴシック" pitchFamily="49" charset="-128"/>
              <a:ea typeface="ＭＳ ゴシック" pitchFamily="49" charset="-128"/>
              <a:cs typeface="+mn-cs"/>
            </a:rPr>
            <a:t>下表の太枠線内を入力して下さい。入力にあたっては、下記の</a:t>
          </a:r>
          <a:r>
            <a:rPr lang="en-US" altLang="ja-JP" sz="1050" b="1" i="0" u="none" strike="noStrike">
              <a:solidFill>
                <a:schemeClr val="dk1"/>
              </a:solidFill>
              <a:latin typeface="ＭＳ ゴシック" pitchFamily="49" charset="-128"/>
              <a:ea typeface="ＭＳ ゴシック" pitchFamily="49" charset="-128"/>
              <a:cs typeface="+mn-cs"/>
            </a:rPr>
            <a:t>【</a:t>
          </a:r>
          <a:r>
            <a:rPr lang="ja-JP" altLang="en-US" sz="1050" b="1" i="0" u="none" strike="noStrike">
              <a:solidFill>
                <a:schemeClr val="dk1"/>
              </a:solidFill>
              <a:latin typeface="ＭＳ ゴシック" pitchFamily="49" charset="-128"/>
              <a:ea typeface="ＭＳ ゴシック" pitchFamily="49" charset="-128"/>
              <a:cs typeface="+mn-cs"/>
            </a:rPr>
            <a:t>入力にあたっての注意点</a:t>
          </a:r>
          <a:r>
            <a:rPr lang="en-US" altLang="ja-JP" sz="1050" b="1" i="0" u="none" strike="noStrike">
              <a:solidFill>
                <a:schemeClr val="dk1"/>
              </a:solidFill>
              <a:latin typeface="ＭＳ ゴシック" pitchFamily="49" charset="-128"/>
              <a:ea typeface="ＭＳ ゴシック" pitchFamily="49" charset="-128"/>
              <a:cs typeface="+mn-cs"/>
            </a:rPr>
            <a:t>】</a:t>
          </a:r>
          <a:r>
            <a:rPr lang="ja-JP" altLang="en-US" sz="1050" b="1" i="0" u="none" strike="noStrike">
              <a:solidFill>
                <a:schemeClr val="dk1"/>
              </a:solidFill>
              <a:latin typeface="ＭＳ ゴシック" pitchFamily="49" charset="-128"/>
              <a:ea typeface="ＭＳ ゴシック" pitchFamily="49" charset="-128"/>
              <a:cs typeface="+mn-cs"/>
            </a:rPr>
            <a:t>を、よくお読みください。</a:t>
          </a:r>
          <a:r>
            <a:rPr lang="ja-JP" altLang="en-US" sz="1050" b="1">
              <a:latin typeface="ＭＳ ゴシック" pitchFamily="49" charset="-128"/>
              <a:ea typeface="ＭＳ ゴシック" pitchFamily="49" charset="-128"/>
            </a:rPr>
            <a:t> </a:t>
          </a:r>
          <a:endParaRPr lang="en-US" altLang="ja-JP" sz="1050" b="1">
            <a:latin typeface="ＭＳ ゴシック" pitchFamily="49" charset="-128"/>
            <a:ea typeface="ＭＳ ゴシック" pitchFamily="49" charset="-128"/>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各年度の</a:t>
          </a:r>
          <a:r>
            <a:rPr lang="ja-JP" altLang="en-US" sz="1050" b="1" i="0" u="none" strike="noStrike">
              <a:solidFill>
                <a:schemeClr val="dk1"/>
              </a:solidFill>
              <a:latin typeface="ＭＳ ゴシック" pitchFamily="49" charset="-128"/>
              <a:ea typeface="ＭＳ ゴシック" pitchFamily="49" charset="-128"/>
              <a:cs typeface="+mn-cs"/>
            </a:rPr>
            <a:t>前年中の所得を入力して下さい。世帯主の軽減判定対象及び各所得欄は入力必須です。</a:t>
          </a:r>
          <a:r>
            <a:rPr lang="ja-JP" altLang="en-US" sz="1050">
              <a:latin typeface="ＭＳ 明朝" pitchFamily="17" charset="-128"/>
              <a:ea typeface="ＭＳ 明朝" pitchFamily="17" charset="-128"/>
            </a:rPr>
            <a:t> </a:t>
          </a:r>
          <a:endParaRPr lang="en-US" altLang="ja-JP" sz="1050">
            <a:latin typeface="ＭＳ 明朝" pitchFamily="17" charset="-128"/>
            <a:ea typeface="ＭＳ 明朝" pitchFamily="17" charset="-128"/>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・平成</a:t>
          </a:r>
          <a:r>
            <a:rPr lang="en-US" altLang="ja-JP" sz="1050" b="0" i="0" u="none" strike="noStrike">
              <a:solidFill>
                <a:schemeClr val="dk1"/>
              </a:solidFill>
              <a:latin typeface="ＭＳ 明朝" pitchFamily="17" charset="-128"/>
              <a:ea typeface="ＭＳ 明朝" pitchFamily="17" charset="-128"/>
              <a:cs typeface="+mn-cs"/>
            </a:rPr>
            <a:t>29</a:t>
          </a:r>
          <a:r>
            <a:rPr lang="ja-JP" altLang="en-US" sz="1050" b="0" i="0" u="none" strike="noStrike">
              <a:solidFill>
                <a:schemeClr val="dk1"/>
              </a:solidFill>
              <a:latin typeface="ＭＳ 明朝" pitchFamily="17" charset="-128"/>
              <a:ea typeface="ＭＳ 明朝" pitchFamily="17" charset="-128"/>
              <a:cs typeface="+mn-cs"/>
            </a:rPr>
            <a:t>年度の保険料の試算を行う場合、平成</a:t>
          </a:r>
          <a:r>
            <a:rPr lang="en-US" altLang="ja-JP" sz="1050" b="0" i="0" u="none" strike="noStrike">
              <a:solidFill>
                <a:schemeClr val="dk1"/>
              </a:solidFill>
              <a:latin typeface="ＭＳ 明朝" pitchFamily="17" charset="-128"/>
              <a:ea typeface="ＭＳ 明朝" pitchFamily="17" charset="-128"/>
              <a:cs typeface="+mn-cs"/>
            </a:rPr>
            <a:t>28</a:t>
          </a:r>
          <a:r>
            <a:rPr lang="ja-JP" altLang="en-US" sz="1050" b="0" i="0" u="none" strike="noStrike">
              <a:solidFill>
                <a:schemeClr val="dk1"/>
              </a:solidFill>
              <a:latin typeface="ＭＳ 明朝" pitchFamily="17" charset="-128"/>
              <a:ea typeface="ＭＳ 明朝" pitchFamily="17" charset="-128"/>
              <a:cs typeface="+mn-cs"/>
            </a:rPr>
            <a:t>年</a:t>
          </a:r>
          <a:r>
            <a:rPr lang="en-US" altLang="ja-JP" sz="1050" b="0" i="0" u="none" strike="noStrike">
              <a:solidFill>
                <a:schemeClr val="dk1"/>
              </a:solidFill>
              <a:latin typeface="ＭＳ 明朝" pitchFamily="17" charset="-128"/>
              <a:ea typeface="ＭＳ 明朝" pitchFamily="17" charset="-128"/>
              <a:cs typeface="+mn-cs"/>
            </a:rPr>
            <a:t>1</a:t>
          </a:r>
          <a:r>
            <a:rPr lang="ja-JP" altLang="en-US" sz="1050" b="0" i="0" u="none" strike="noStrike">
              <a:solidFill>
                <a:schemeClr val="dk1"/>
              </a:solidFill>
              <a:latin typeface="ＭＳ 明朝" pitchFamily="17" charset="-128"/>
              <a:ea typeface="ＭＳ 明朝" pitchFamily="17" charset="-128"/>
              <a:cs typeface="+mn-cs"/>
            </a:rPr>
            <a:t>月～</a:t>
          </a:r>
          <a:r>
            <a:rPr lang="en-US" altLang="ja-JP" sz="1050" b="0" i="0" u="none" strike="noStrike">
              <a:solidFill>
                <a:schemeClr val="dk1"/>
              </a:solidFill>
              <a:latin typeface="ＭＳ 明朝" pitchFamily="17" charset="-128"/>
              <a:ea typeface="ＭＳ 明朝" pitchFamily="17" charset="-128"/>
              <a:cs typeface="+mn-cs"/>
            </a:rPr>
            <a:t>12</a:t>
          </a:r>
          <a:r>
            <a:rPr lang="ja-JP" altLang="en-US" sz="1050" b="0" i="0" u="none" strike="noStrike">
              <a:solidFill>
                <a:schemeClr val="dk1"/>
              </a:solidFill>
              <a:latin typeface="ＭＳ 明朝" pitchFamily="17" charset="-128"/>
              <a:ea typeface="ＭＳ 明朝" pitchFamily="17" charset="-128"/>
              <a:cs typeface="+mn-cs"/>
            </a:rPr>
            <a:t>月中の所得を入力して下さい。</a:t>
          </a:r>
          <a:r>
            <a:rPr lang="ja-JP" altLang="en-US" sz="1050">
              <a:latin typeface="ＭＳ 明朝" pitchFamily="17" charset="-128"/>
              <a:ea typeface="ＭＳ 明朝" pitchFamily="17" charset="-128"/>
            </a:rPr>
            <a:t> </a:t>
          </a:r>
          <a:endParaRPr lang="en-US" altLang="ja-JP" sz="1050">
            <a:latin typeface="ＭＳ 明朝" pitchFamily="17" charset="-128"/>
            <a:ea typeface="ＭＳ 明朝" pitchFamily="17" charset="-128"/>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なお、</a:t>
          </a:r>
          <a:r>
            <a:rPr lang="ja-JP" altLang="en-US" sz="1050" b="1" i="0" u="none" strike="noStrike">
              <a:solidFill>
                <a:schemeClr val="dk1"/>
              </a:solidFill>
              <a:latin typeface="ＭＳ ゴシック" pitchFamily="49" charset="-128"/>
              <a:ea typeface="ＭＳ ゴシック" pitchFamily="49" charset="-128"/>
              <a:cs typeface="+mn-cs"/>
            </a:rPr>
            <a:t>計算結果はあくまで試算であり、実際の保険料額とは異なる場合がございますのでご了承下さい。</a:t>
          </a:r>
          <a:endParaRPr lang="en-US" altLang="ja-JP" sz="1050" b="1" i="0" u="none" strike="noStrike">
            <a:solidFill>
              <a:schemeClr val="dk1"/>
            </a:solidFill>
            <a:latin typeface="ＭＳ ゴシック" pitchFamily="49" charset="-128"/>
            <a:ea typeface="ＭＳ ゴシック" pitchFamily="49"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所得の内訳が複雑な方・年度途中で複数回、加入・脱退をされた方等は、正確な試算が難しい場合がございます。</a:t>
          </a: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特に、任意継続との比較や、切り替えを検討しておられる方は、保険料係にて直接、試算結果の確認をされることをお勧めいたします。</a:t>
          </a: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その際は、</a:t>
          </a:r>
          <a:r>
            <a:rPr lang="ja-JP" altLang="ja-JP" sz="1100" b="0" i="0">
              <a:solidFill>
                <a:schemeClr val="dk1"/>
              </a:solidFill>
              <a:latin typeface="ＭＳ 明朝" pitchFamily="17" charset="-128"/>
              <a:ea typeface="ＭＳ 明朝" pitchFamily="17" charset="-128"/>
              <a:cs typeface="+mn-cs"/>
            </a:rPr>
            <a:t>所得の内訳や本試算結果等をご持参</a:t>
          </a:r>
          <a:r>
            <a:rPr lang="ja-JP" altLang="en-US" sz="1100" b="0" i="0">
              <a:solidFill>
                <a:schemeClr val="dk1"/>
              </a:solidFill>
              <a:latin typeface="ＭＳ 明朝" pitchFamily="17" charset="-128"/>
              <a:ea typeface="ＭＳ 明朝" pitchFamily="17" charset="-128"/>
              <a:cs typeface="+mn-cs"/>
            </a:rPr>
            <a:t>ください</a:t>
          </a:r>
          <a:r>
            <a:rPr lang="ja-JP" altLang="ja-JP" sz="1100" b="0" i="0">
              <a:solidFill>
                <a:schemeClr val="dk1"/>
              </a:solidFill>
              <a:latin typeface="ＭＳ 明朝" pitchFamily="17" charset="-128"/>
              <a:ea typeface="ＭＳ 明朝" pitchFamily="17" charset="-128"/>
              <a:cs typeface="+mn-cs"/>
            </a:rPr>
            <a:t>。</a:t>
          </a: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・試算には平成</a:t>
          </a:r>
          <a:r>
            <a:rPr lang="en-US" altLang="ja-JP" sz="1050" b="0" i="0" u="none" strike="noStrike">
              <a:solidFill>
                <a:schemeClr val="dk1"/>
              </a:solidFill>
              <a:latin typeface="ＭＳ 明朝" pitchFamily="17" charset="-128"/>
              <a:ea typeface="ＭＳ 明朝" pitchFamily="17" charset="-128"/>
              <a:cs typeface="+mn-cs"/>
            </a:rPr>
            <a:t>29</a:t>
          </a:r>
          <a:r>
            <a:rPr lang="ja-JP" altLang="en-US" sz="1050" b="0" i="0" u="none" strike="noStrike">
              <a:solidFill>
                <a:schemeClr val="dk1"/>
              </a:solidFill>
              <a:latin typeface="ＭＳ 明朝" pitchFamily="17" charset="-128"/>
              <a:ea typeface="ＭＳ 明朝" pitchFamily="17" charset="-128"/>
              <a:cs typeface="+mn-cs"/>
            </a:rPr>
            <a:t>年度柏原市国民健康保険料の料率等を用いております。ご注意下さい。</a:t>
          </a: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また、</a:t>
          </a:r>
          <a:r>
            <a:rPr lang="ja-JP" altLang="en-US" sz="1050" b="1" i="0" u="none" strike="noStrike">
              <a:solidFill>
                <a:schemeClr val="dk1"/>
              </a:solidFill>
              <a:latin typeface="ＭＳ ゴシック" pitchFamily="49" charset="-128"/>
              <a:ea typeface="ＭＳ ゴシック" pitchFamily="49" charset="-128"/>
              <a:cs typeface="+mn-cs"/>
            </a:rPr>
            <a:t>下記の場合等の試算には対応しておりません</a:t>
          </a:r>
          <a:r>
            <a:rPr lang="ja-JP" altLang="en-US" sz="1050" b="0" i="0" u="none" strike="noStrike">
              <a:solidFill>
                <a:schemeClr val="dk1"/>
              </a:solidFill>
              <a:latin typeface="ＭＳ 明朝" pitchFamily="17" charset="-128"/>
              <a:ea typeface="ＭＳ 明朝" pitchFamily="17" charset="-128"/>
              <a:cs typeface="+mn-cs"/>
            </a:rPr>
            <a:t>。</a:t>
          </a: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・特定同一世帯に該当する場合（加入者が後期高齢者医療制度へ移行することにより、その世帯の加入者が１人となってから５年間）</a:t>
          </a: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・加入者が１０名以上の場合</a:t>
          </a: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0" i="0" u="none" strike="noStrike">
              <a:solidFill>
                <a:schemeClr val="dk1"/>
              </a:solidFill>
              <a:latin typeface="ＭＳ 明朝" pitchFamily="17" charset="-128"/>
              <a:ea typeface="ＭＳ 明朝" pitchFamily="17" charset="-128"/>
              <a:cs typeface="+mn-cs"/>
            </a:rPr>
            <a:t>　　・雇用保険の特定受給資格者・特理由離職者に該当する場合</a:t>
          </a:r>
          <a:endParaRPr kumimoji="1"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kumimoji="1" lang="ja-JP" altLang="en-US" sz="1050" b="0" i="0" u="none" strike="noStrike">
              <a:solidFill>
                <a:schemeClr val="dk1"/>
              </a:solidFill>
              <a:latin typeface="ＭＳ 明朝" pitchFamily="17" charset="-128"/>
              <a:ea typeface="ＭＳ 明朝" pitchFamily="17" charset="-128"/>
              <a:cs typeface="+mn-cs"/>
            </a:rPr>
            <a:t>　　・年度途中に世帯主が変更となった場合</a:t>
          </a:r>
          <a:endParaRPr lang="en-US" altLang="ja-JP" sz="1050" b="0" i="0" u="none" strike="noStrike">
            <a:solidFill>
              <a:schemeClr val="dk1"/>
            </a:solidFill>
            <a:latin typeface="ＭＳ 明朝" pitchFamily="17" charset="-128"/>
            <a:ea typeface="ＭＳ 明朝" pitchFamily="17" charset="-128"/>
            <a:cs typeface="+mn-cs"/>
          </a:endParaRPr>
        </a:p>
      </xdr:txBody>
    </xdr:sp>
    <xdr:clientData/>
  </xdr:twoCellAnchor>
  <xdr:oneCellAnchor>
    <xdr:from>
      <xdr:col>0</xdr:col>
      <xdr:colOff>0</xdr:colOff>
      <xdr:row>127</xdr:row>
      <xdr:rowOff>23811</xdr:rowOff>
    </xdr:from>
    <xdr:ext cx="11296650" cy="9672639"/>
    <xdr:sp macro="" textlink="">
      <xdr:nvSpPr>
        <xdr:cNvPr id="3" name="テキスト ボックス 2"/>
        <xdr:cNvSpPr txBox="1"/>
      </xdr:nvSpPr>
      <xdr:spPr>
        <a:xfrm>
          <a:off x="0" y="6519861"/>
          <a:ext cx="11296650" cy="9672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1500"/>
            </a:lnSpc>
          </a:pPr>
          <a:r>
            <a:rPr lang="en-US" altLang="ja-JP" sz="1100" b="1" i="0">
              <a:solidFill>
                <a:schemeClr val="dk1"/>
              </a:solidFill>
              <a:latin typeface="ＭＳ ゴシック" pitchFamily="49" charset="-128"/>
              <a:ea typeface="ＭＳ ゴシック" pitchFamily="49" charset="-128"/>
              <a:cs typeface="+mn-cs"/>
            </a:rPr>
            <a:t>【</a:t>
          </a:r>
          <a:r>
            <a:rPr lang="ja-JP" altLang="en-US" sz="1100" b="1" i="0">
              <a:solidFill>
                <a:schemeClr val="dk1"/>
              </a:solidFill>
              <a:latin typeface="ＭＳ ゴシック" pitchFamily="49" charset="-128"/>
              <a:ea typeface="ＭＳ ゴシック" pitchFamily="49" charset="-128"/>
              <a:cs typeface="+mn-cs"/>
            </a:rPr>
            <a:t>入力にあたっての</a:t>
          </a:r>
          <a:r>
            <a:rPr lang="ja-JP" altLang="ja-JP" sz="1100" b="1" i="0">
              <a:solidFill>
                <a:schemeClr val="dk1"/>
              </a:solidFill>
              <a:latin typeface="ＭＳ ゴシック" pitchFamily="49" charset="-128"/>
              <a:ea typeface="ＭＳ ゴシック" pitchFamily="49" charset="-128"/>
              <a:cs typeface="+mn-cs"/>
            </a:rPr>
            <a:t>注意</a:t>
          </a:r>
          <a:r>
            <a:rPr lang="ja-JP" altLang="en-US" sz="1100" b="1" i="0">
              <a:solidFill>
                <a:schemeClr val="dk1"/>
              </a:solidFill>
              <a:latin typeface="ＭＳ ゴシック" pitchFamily="49" charset="-128"/>
              <a:ea typeface="ＭＳ ゴシック" pitchFamily="49" charset="-128"/>
              <a:cs typeface="+mn-cs"/>
            </a:rPr>
            <a:t>点</a:t>
          </a:r>
          <a:r>
            <a:rPr lang="en-US" altLang="ja-JP" sz="1100" b="1" i="0">
              <a:solidFill>
                <a:schemeClr val="dk1"/>
              </a:solidFill>
              <a:latin typeface="ＭＳ ゴシック" pitchFamily="49" charset="-128"/>
              <a:ea typeface="ＭＳ ゴシック" pitchFamily="49" charset="-128"/>
              <a:cs typeface="+mn-cs"/>
            </a:rPr>
            <a:t>】</a:t>
          </a:r>
        </a:p>
        <a:p>
          <a:pPr>
            <a:lnSpc>
              <a:spcPts val="1500"/>
            </a:lnSpc>
          </a:pPr>
          <a:endParaRPr lang="en-US" altLang="ja-JP" sz="1050" b="1" i="0">
            <a:solidFill>
              <a:schemeClr val="dk1"/>
            </a:solidFill>
            <a:latin typeface="ＭＳ 明朝" pitchFamily="17" charset="-128"/>
            <a:ea typeface="ＭＳ 明朝" pitchFamily="17" charset="-128"/>
            <a:cs typeface="+mn-cs"/>
          </a:endParaRPr>
        </a:p>
        <a:p>
          <a:pPr>
            <a:lnSpc>
              <a:spcPts val="1500"/>
            </a:lnSpc>
          </a:pPr>
          <a:r>
            <a:rPr lang="ja-JP" altLang="en-US" sz="1050" b="1" i="0">
              <a:solidFill>
                <a:schemeClr val="dk1"/>
              </a:solidFill>
              <a:latin typeface="ＭＳ ゴシック" pitchFamily="49" charset="-128"/>
              <a:ea typeface="ＭＳ ゴシック" pitchFamily="49" charset="-128"/>
              <a:cs typeface="+mn-cs"/>
            </a:rPr>
            <a:t>①</a:t>
          </a:r>
          <a:r>
            <a:rPr lang="ja-JP" altLang="ja-JP" sz="1050" b="1" i="0">
              <a:solidFill>
                <a:schemeClr val="dk1"/>
              </a:solidFill>
              <a:latin typeface="ＭＳ ゴシック" pitchFamily="49" charset="-128"/>
              <a:ea typeface="ＭＳ ゴシック" pitchFamily="49" charset="-128"/>
              <a:cs typeface="+mn-cs"/>
            </a:rPr>
            <a:t>　軽減判定対象</a:t>
          </a:r>
          <a:endParaRPr lang="en-US" altLang="ja-JP" sz="1050" b="1" i="0">
            <a:solidFill>
              <a:schemeClr val="dk1"/>
            </a:solidFill>
            <a:latin typeface="ＭＳ ゴシック" pitchFamily="49" charset="-128"/>
            <a:ea typeface="ＭＳ ゴシック" pitchFamily="49" charset="-128"/>
            <a:cs typeface="+mn-cs"/>
          </a:endParaRPr>
        </a:p>
        <a:p>
          <a:pPr>
            <a:lnSpc>
              <a:spcPts val="1500"/>
            </a:lnSpc>
          </a:pPr>
          <a:r>
            <a:rPr lang="ja-JP" altLang="en-US" sz="1050" b="1" i="0">
              <a:solidFill>
                <a:schemeClr val="dk1"/>
              </a:solidFill>
              <a:latin typeface="ＭＳ ゴシック" pitchFamily="49" charset="-128"/>
              <a:ea typeface="ＭＳ ゴシック" pitchFamily="49" charset="-128"/>
              <a:cs typeface="+mn-cs"/>
            </a:rPr>
            <a:t>　　</a:t>
          </a:r>
          <a:r>
            <a:rPr lang="ja-JP" altLang="ja-JP" sz="1050" b="1" i="0">
              <a:solidFill>
                <a:schemeClr val="dk1"/>
              </a:solidFill>
              <a:latin typeface="ＭＳ ゴシック" pitchFamily="49" charset="-128"/>
              <a:ea typeface="ＭＳ ゴシック" pitchFamily="49" charset="-128"/>
              <a:cs typeface="+mn-cs"/>
            </a:rPr>
            <a:t>年度当初（新規加入の場合は加入当初）の加入者に○を入力して下さい。</a:t>
          </a:r>
          <a:r>
            <a:rPr lang="ja-JP" altLang="ja-JP" sz="1050" b="0" i="0">
              <a:solidFill>
                <a:schemeClr val="dk1"/>
              </a:solidFill>
              <a:latin typeface="ＭＳ 明朝" pitchFamily="17" charset="-128"/>
              <a:ea typeface="ＭＳ 明朝" pitchFamily="17" charset="-128"/>
              <a:cs typeface="+mn-cs"/>
            </a:rPr>
            <a:t/>
          </a:r>
          <a:br>
            <a:rPr lang="ja-JP" altLang="ja-JP" sz="1050" b="0" i="0">
              <a:solidFill>
                <a:schemeClr val="dk1"/>
              </a:solidFill>
              <a:latin typeface="ＭＳ 明朝" pitchFamily="17" charset="-128"/>
              <a:ea typeface="ＭＳ 明朝" pitchFamily="17" charset="-128"/>
              <a:cs typeface="+mn-cs"/>
            </a:rPr>
          </a:b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例えば、年度当初</a:t>
          </a:r>
          <a:r>
            <a:rPr lang="en-US" altLang="ja-JP" sz="1050" b="0" i="0">
              <a:solidFill>
                <a:schemeClr val="dk1"/>
              </a:solidFill>
              <a:latin typeface="ＭＳ 明朝" pitchFamily="17" charset="-128"/>
              <a:ea typeface="ＭＳ 明朝" pitchFamily="17" charset="-128"/>
              <a:cs typeface="+mn-cs"/>
            </a:rPr>
            <a:t>4</a:t>
          </a:r>
          <a:r>
            <a:rPr lang="ja-JP" altLang="ja-JP" sz="1050" b="0" i="0">
              <a:solidFill>
                <a:schemeClr val="dk1"/>
              </a:solidFill>
              <a:latin typeface="ＭＳ 明朝" pitchFamily="17" charset="-128"/>
              <a:ea typeface="ＭＳ 明朝" pitchFamily="17" charset="-128"/>
              <a:cs typeface="+mn-cs"/>
            </a:rPr>
            <a:t>月</a:t>
          </a:r>
          <a:r>
            <a:rPr lang="en-US" altLang="ja-JP" sz="1050" b="0" i="0">
              <a:solidFill>
                <a:schemeClr val="dk1"/>
              </a:solidFill>
              <a:latin typeface="ＭＳ 明朝" pitchFamily="17" charset="-128"/>
              <a:ea typeface="ＭＳ 明朝" pitchFamily="17" charset="-128"/>
              <a:cs typeface="+mn-cs"/>
            </a:rPr>
            <a:t>1</a:t>
          </a:r>
          <a:r>
            <a:rPr lang="ja-JP" altLang="ja-JP" sz="1050" b="0" i="0">
              <a:solidFill>
                <a:schemeClr val="dk1"/>
              </a:solidFill>
              <a:latin typeface="ＭＳ 明朝" pitchFamily="17" charset="-128"/>
              <a:ea typeface="ＭＳ 明朝" pitchFamily="17" charset="-128"/>
              <a:cs typeface="+mn-cs"/>
            </a:rPr>
            <a:t>日は</a:t>
          </a:r>
          <a:r>
            <a:rPr lang="en-US" altLang="ja-JP" sz="1050" b="0" i="0">
              <a:solidFill>
                <a:schemeClr val="dk1"/>
              </a:solidFill>
              <a:latin typeface="ＭＳ 明朝" pitchFamily="17" charset="-128"/>
              <a:ea typeface="ＭＳ 明朝" pitchFamily="17" charset="-128"/>
              <a:cs typeface="+mn-cs"/>
            </a:rPr>
            <a:t>B</a:t>
          </a:r>
          <a:r>
            <a:rPr lang="ja-JP" altLang="ja-JP" sz="1050" b="0" i="0">
              <a:solidFill>
                <a:schemeClr val="dk1"/>
              </a:solidFill>
              <a:latin typeface="ＭＳ 明朝" pitchFamily="17" charset="-128"/>
              <a:ea typeface="ＭＳ 明朝" pitchFamily="17" charset="-128"/>
              <a:cs typeface="+mn-cs"/>
            </a:rPr>
            <a:t>のみが加入しており、</a:t>
          </a:r>
          <a:r>
            <a:rPr lang="en-US" altLang="ja-JP" sz="1050" b="0" i="0">
              <a:solidFill>
                <a:schemeClr val="dk1"/>
              </a:solidFill>
              <a:latin typeface="ＭＳ 明朝" pitchFamily="17" charset="-128"/>
              <a:ea typeface="ＭＳ 明朝" pitchFamily="17" charset="-128"/>
              <a:cs typeface="+mn-cs"/>
            </a:rPr>
            <a:t>4</a:t>
          </a:r>
          <a:r>
            <a:rPr lang="ja-JP" altLang="ja-JP" sz="1050" b="0" i="0">
              <a:solidFill>
                <a:schemeClr val="dk1"/>
              </a:solidFill>
              <a:latin typeface="ＭＳ 明朝" pitchFamily="17" charset="-128"/>
              <a:ea typeface="ＭＳ 明朝" pitchFamily="17" charset="-128"/>
              <a:cs typeface="+mn-cs"/>
            </a:rPr>
            <a:t>月</a:t>
          </a:r>
          <a:r>
            <a:rPr lang="en-US" altLang="ja-JP" sz="1050" b="0" i="0">
              <a:solidFill>
                <a:schemeClr val="dk1"/>
              </a:solidFill>
              <a:latin typeface="ＭＳ 明朝" pitchFamily="17" charset="-128"/>
              <a:ea typeface="ＭＳ 明朝" pitchFamily="17" charset="-128"/>
              <a:cs typeface="+mn-cs"/>
            </a:rPr>
            <a:t>15</a:t>
          </a:r>
          <a:r>
            <a:rPr lang="ja-JP" altLang="ja-JP" sz="1050" b="0" i="0">
              <a:solidFill>
                <a:schemeClr val="dk1"/>
              </a:solidFill>
              <a:latin typeface="ＭＳ 明朝" pitchFamily="17" charset="-128"/>
              <a:ea typeface="ＭＳ 明朝" pitchFamily="17" charset="-128"/>
              <a:cs typeface="+mn-cs"/>
            </a:rPr>
            <a:t>日に</a:t>
          </a:r>
          <a:r>
            <a:rPr lang="en-US" altLang="ja-JP" sz="1050" b="0" i="0">
              <a:solidFill>
                <a:schemeClr val="dk1"/>
              </a:solidFill>
              <a:latin typeface="ＭＳ 明朝" pitchFamily="17" charset="-128"/>
              <a:ea typeface="ＭＳ 明朝" pitchFamily="17" charset="-128"/>
              <a:cs typeface="+mn-cs"/>
            </a:rPr>
            <a:t>C</a:t>
          </a:r>
          <a:r>
            <a:rPr lang="ja-JP" altLang="ja-JP" sz="1050" b="0" i="0">
              <a:solidFill>
                <a:schemeClr val="dk1"/>
              </a:solidFill>
              <a:latin typeface="ＭＳ 明朝" pitchFamily="17" charset="-128"/>
              <a:ea typeface="ＭＳ 明朝" pitchFamily="17" charset="-128"/>
              <a:cs typeface="+mn-cs"/>
            </a:rPr>
            <a:t>が加入するような場合は、</a:t>
          </a:r>
          <a:r>
            <a:rPr lang="en-US" altLang="ja-JP" sz="1050" b="0" i="0">
              <a:solidFill>
                <a:schemeClr val="dk1"/>
              </a:solidFill>
              <a:latin typeface="ＭＳ 明朝" pitchFamily="17" charset="-128"/>
              <a:ea typeface="ＭＳ 明朝" pitchFamily="17" charset="-128"/>
              <a:cs typeface="+mn-cs"/>
            </a:rPr>
            <a:t>B</a:t>
          </a:r>
          <a:r>
            <a:rPr lang="ja-JP" altLang="ja-JP" sz="1050" b="0" i="0">
              <a:solidFill>
                <a:schemeClr val="dk1"/>
              </a:solidFill>
              <a:latin typeface="ＭＳ 明朝" pitchFamily="17" charset="-128"/>
              <a:ea typeface="ＭＳ 明朝" pitchFamily="17" charset="-128"/>
              <a:cs typeface="+mn-cs"/>
            </a:rPr>
            <a:t>のみ○を入力して下さい。</a:t>
          </a:r>
          <a:endParaRPr lang="en-US" altLang="ja-JP" sz="1050" b="0" i="0">
            <a:solidFill>
              <a:schemeClr val="dk1"/>
            </a:solidFill>
            <a:latin typeface="ＭＳ 明朝" pitchFamily="17" charset="-128"/>
            <a:ea typeface="ＭＳ 明朝" pitchFamily="17" charset="-128"/>
            <a:cs typeface="+mn-cs"/>
          </a:endParaRPr>
        </a:p>
        <a:p>
          <a:pPr>
            <a:lnSpc>
              <a:spcPts val="1500"/>
            </a:lnSpc>
          </a:pPr>
          <a:r>
            <a:rPr lang="ja-JP" altLang="en-US" sz="1050" b="1" i="0" u="none" strike="noStrike">
              <a:solidFill>
                <a:schemeClr val="dk1"/>
              </a:solidFill>
              <a:latin typeface="ＭＳ ゴシック" pitchFamily="49" charset="-128"/>
              <a:ea typeface="ＭＳ ゴシック" pitchFamily="49" charset="-128"/>
              <a:cs typeface="+mn-cs"/>
            </a:rPr>
            <a:t>　　世帯主は、○か擬制世帯主のどちらかを入力して下さい。（年度当初（新規加入の場合は加入当初）の状態を入力して下さい。）</a:t>
          </a:r>
          <a:endParaRPr lang="en-US" altLang="ja-JP" sz="1050" b="1" i="0" u="none" strike="noStrike">
            <a:solidFill>
              <a:schemeClr val="dk1"/>
            </a:solidFill>
            <a:latin typeface="ＭＳ ゴシック" pitchFamily="49" charset="-128"/>
            <a:ea typeface="ＭＳ ゴシック" pitchFamily="49" charset="-128"/>
            <a:cs typeface="+mn-cs"/>
          </a:endParaRPr>
        </a:p>
        <a:p>
          <a:pPr>
            <a:lnSpc>
              <a:spcPts val="1500"/>
            </a:lnSpc>
          </a:pPr>
          <a:r>
            <a:rPr lang="en-US" altLang="ja-JP" sz="1050" b="1" i="0" u="none" strike="noStrike">
              <a:solidFill>
                <a:schemeClr val="dk1"/>
              </a:solidFill>
              <a:latin typeface="ＭＳ 明朝" pitchFamily="17" charset="-128"/>
              <a:ea typeface="ＭＳ 明朝" pitchFamily="17" charset="-128"/>
              <a:cs typeface="+mn-cs"/>
            </a:rPr>
            <a:t>    </a:t>
          </a:r>
          <a:r>
            <a:rPr lang="ja-JP" altLang="en-US" sz="1050" b="0" i="0" u="none" strike="noStrike">
              <a:solidFill>
                <a:schemeClr val="dk1"/>
              </a:solidFill>
              <a:latin typeface="ＭＳ 明朝" pitchFamily="17" charset="-128"/>
              <a:ea typeface="ＭＳ 明朝" pitchFamily="17" charset="-128"/>
              <a:cs typeface="+mn-cs"/>
            </a:rPr>
            <a:t>擬制世帯主とは、職場の健康保険や後期高齢者医療保険等に加入している（＝国民健康保険の加入者ではない）世帯主のことを言います。</a:t>
          </a:r>
          <a:endParaRPr lang="en-US" altLang="ja-JP" sz="1050" b="1"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1" i="0" u="none" strike="noStrike">
              <a:solidFill>
                <a:schemeClr val="dk1"/>
              </a:solidFill>
              <a:latin typeface="ＭＳ 明朝" pitchFamily="17" charset="-128"/>
              <a:ea typeface="ＭＳ 明朝" pitchFamily="17" charset="-128"/>
              <a:cs typeface="+mn-cs"/>
            </a:rPr>
            <a:t>　　　　　</a:t>
          </a:r>
          <a:r>
            <a:rPr lang="en-US" altLang="ja-JP" sz="1050" b="0" i="0" u="none" strike="noStrike">
              <a:solidFill>
                <a:schemeClr val="dk1"/>
              </a:solidFill>
              <a:latin typeface="ＭＳ 明朝" pitchFamily="17" charset="-128"/>
              <a:ea typeface="ＭＳ 明朝" pitchFamily="17" charset="-128"/>
              <a:cs typeface="+mn-cs"/>
            </a:rPr>
            <a:t>※</a:t>
          </a:r>
          <a:r>
            <a:rPr lang="ja-JP" altLang="en-US" sz="1050" b="0" i="0" u="none" strike="noStrike">
              <a:solidFill>
                <a:schemeClr val="dk1"/>
              </a:solidFill>
              <a:latin typeface="ＭＳ 明朝" pitchFamily="17" charset="-128"/>
              <a:ea typeface="ＭＳ 明朝" pitchFamily="17" charset="-128"/>
              <a:cs typeface="+mn-cs"/>
            </a:rPr>
            <a:t>国民健康保険料は、加入者が属する世帯の世帯主に納付義務が発生します。</a:t>
          </a:r>
          <a:r>
            <a:rPr lang="en-US" altLang="ja-JP" sz="1050" b="1" i="0" u="none" strike="noStrike">
              <a:solidFill>
                <a:schemeClr val="dk1"/>
              </a:solidFill>
              <a:latin typeface="ＭＳ 明朝" pitchFamily="17" charset="-128"/>
              <a:ea typeface="ＭＳ 明朝" pitchFamily="17" charset="-128"/>
              <a:cs typeface="+mn-cs"/>
            </a:rPr>
            <a:t> </a:t>
          </a:r>
        </a:p>
        <a:p>
          <a:pPr>
            <a:lnSpc>
              <a:spcPts val="1500"/>
            </a:lnSpc>
          </a:pPr>
          <a:endParaRPr lang="en-US" altLang="ja-JP" sz="1050" b="1"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1" i="0">
              <a:solidFill>
                <a:schemeClr val="dk1"/>
              </a:solidFill>
              <a:latin typeface="ＭＳ ゴシック" pitchFamily="49" charset="-128"/>
              <a:ea typeface="ＭＳ ゴシック" pitchFamily="49" charset="-128"/>
              <a:cs typeface="+mn-cs"/>
            </a:rPr>
            <a:t>②</a:t>
          </a:r>
          <a:r>
            <a:rPr lang="ja-JP" altLang="ja-JP" sz="1050" b="1" i="0">
              <a:solidFill>
                <a:schemeClr val="dk1"/>
              </a:solidFill>
              <a:latin typeface="ＭＳ ゴシック" pitchFamily="49" charset="-128"/>
              <a:ea typeface="ＭＳ ゴシック" pitchFamily="49" charset="-128"/>
              <a:cs typeface="+mn-cs"/>
            </a:rPr>
            <a:t>　軽減判定</a:t>
          </a:r>
          <a:r>
            <a:rPr lang="ja-JP" altLang="en-US" sz="1050" b="1" i="0">
              <a:solidFill>
                <a:schemeClr val="dk1"/>
              </a:solidFill>
              <a:latin typeface="ＭＳ ゴシック" pitchFamily="49" charset="-128"/>
              <a:ea typeface="ＭＳ ゴシック" pitchFamily="49" charset="-128"/>
              <a:cs typeface="+mn-cs"/>
            </a:rPr>
            <a:t>基準</a:t>
          </a:r>
          <a:r>
            <a:rPr lang="ja-JP" altLang="ja-JP" sz="1050" b="1" i="0">
              <a:solidFill>
                <a:schemeClr val="dk1"/>
              </a:solidFill>
              <a:latin typeface="ＭＳ ゴシック" pitchFamily="49" charset="-128"/>
              <a:ea typeface="ＭＳ ゴシック" pitchFamily="49" charset="-128"/>
              <a:cs typeface="+mn-cs"/>
            </a:rPr>
            <a:t>所得</a:t>
          </a:r>
          <a:endParaRPr lang="en-US" altLang="ja-JP" sz="1050" b="1" i="0">
            <a:solidFill>
              <a:schemeClr val="dk1"/>
            </a:solidFill>
            <a:latin typeface="ＭＳ ゴシック" pitchFamily="49" charset="-128"/>
            <a:ea typeface="ＭＳ ゴシック" pitchFamily="49" charset="-128"/>
            <a:cs typeface="+mn-cs"/>
          </a:endParaRPr>
        </a:p>
        <a:p>
          <a:pPr>
            <a:lnSpc>
              <a:spcPts val="1500"/>
            </a:lnSpc>
          </a:pPr>
          <a:r>
            <a:rPr lang="ja-JP" altLang="en-US" sz="1050" b="1" i="0">
              <a:solidFill>
                <a:schemeClr val="dk1"/>
              </a:solidFill>
              <a:latin typeface="ＭＳ ゴシック" pitchFamily="49" charset="-128"/>
              <a:ea typeface="ＭＳ ゴシック" pitchFamily="49" charset="-128"/>
              <a:cs typeface="+mn-cs"/>
            </a:rPr>
            <a:t>　　下記③</a:t>
          </a:r>
          <a:r>
            <a:rPr lang="ja-JP" altLang="ja-JP" sz="1050" b="1" i="0">
              <a:solidFill>
                <a:schemeClr val="dk1"/>
              </a:solidFill>
              <a:latin typeface="ＭＳ ゴシック" pitchFamily="49" charset="-128"/>
              <a:ea typeface="ＭＳ ゴシック" pitchFamily="49" charset="-128"/>
              <a:cs typeface="+mn-cs"/>
            </a:rPr>
            <a:t>の総所得金額に、</a:t>
          </a:r>
          <a:r>
            <a:rPr lang="ja-JP" altLang="en-US" sz="1050" b="1" i="0">
              <a:solidFill>
                <a:schemeClr val="dk1"/>
              </a:solidFill>
              <a:latin typeface="ＭＳ ゴシック" pitchFamily="49" charset="-128"/>
              <a:ea typeface="ＭＳ ゴシック" pitchFamily="49" charset="-128"/>
              <a:cs typeface="+mn-cs"/>
            </a:rPr>
            <a:t>以下</a:t>
          </a:r>
          <a:r>
            <a:rPr lang="ja-JP" altLang="ja-JP" sz="1050" b="1" i="0">
              <a:solidFill>
                <a:schemeClr val="dk1"/>
              </a:solidFill>
              <a:latin typeface="ＭＳ ゴシック" pitchFamily="49" charset="-128"/>
              <a:ea typeface="ＭＳ ゴシック" pitchFamily="49" charset="-128"/>
              <a:cs typeface="+mn-cs"/>
            </a:rPr>
            <a:t>の条件に当てはまる方は、それぞれの金額を反映させた額を入力して下さい。</a:t>
          </a:r>
          <a:endParaRPr lang="en-US" altLang="ja-JP" sz="1050" b="1" i="0">
            <a:solidFill>
              <a:schemeClr val="dk1"/>
            </a:solidFill>
            <a:latin typeface="ＭＳ ゴシック" pitchFamily="49" charset="-128"/>
            <a:ea typeface="ＭＳ ゴシック" pitchFamily="49" charset="-128"/>
            <a:cs typeface="+mn-cs"/>
          </a:endParaRPr>
        </a:p>
        <a:p>
          <a:pPr>
            <a:lnSpc>
              <a:spcPts val="1500"/>
            </a:lnSpc>
          </a:pPr>
          <a:r>
            <a:rPr lang="ja-JP" altLang="en-US" sz="1050" b="1" i="0">
              <a:solidFill>
                <a:schemeClr val="dk1"/>
              </a:solidFill>
              <a:latin typeface="ＭＳ ゴシック" pitchFamily="49" charset="-128"/>
              <a:ea typeface="ＭＳ ゴシック" pitchFamily="49" charset="-128"/>
              <a:cs typeface="+mn-cs"/>
            </a:rPr>
            <a:t>　　</a:t>
          </a:r>
          <a:r>
            <a:rPr lang="ja-JP" altLang="ja-JP" sz="1050" b="1" i="0">
              <a:solidFill>
                <a:schemeClr val="dk1"/>
              </a:solidFill>
              <a:latin typeface="ＭＳ ゴシック" pitchFamily="49" charset="-128"/>
              <a:ea typeface="ＭＳ ゴシック" pitchFamily="49" charset="-128"/>
              <a:cs typeface="+mn-cs"/>
            </a:rPr>
            <a:t>当てはまらない方は、そのまま</a:t>
          </a:r>
          <a:r>
            <a:rPr lang="ja-JP" altLang="en-US" sz="1050" b="1" i="0">
              <a:solidFill>
                <a:schemeClr val="dk1"/>
              </a:solidFill>
              <a:latin typeface="ＭＳ ゴシック" pitchFamily="49" charset="-128"/>
              <a:ea typeface="ＭＳ ゴシック" pitchFamily="49" charset="-128"/>
              <a:cs typeface="+mn-cs"/>
            </a:rPr>
            <a:t>③</a:t>
          </a:r>
          <a:r>
            <a:rPr lang="ja-JP" altLang="ja-JP" sz="1050" b="1" i="0">
              <a:solidFill>
                <a:schemeClr val="dk1"/>
              </a:solidFill>
              <a:latin typeface="ＭＳ ゴシック" pitchFamily="49" charset="-128"/>
              <a:ea typeface="ＭＳ ゴシック" pitchFamily="49" charset="-128"/>
              <a:cs typeface="+mn-cs"/>
            </a:rPr>
            <a:t>の総所得金額を入力して下さい。</a:t>
          </a:r>
          <a:r>
            <a:rPr lang="ja-JP" altLang="ja-JP" sz="1050" b="0" i="0">
              <a:solidFill>
                <a:schemeClr val="dk1"/>
              </a:solidFill>
              <a:latin typeface="ＭＳ ゴシック" pitchFamily="49" charset="-128"/>
              <a:ea typeface="ＭＳ ゴシック" pitchFamily="49" charset="-128"/>
              <a:cs typeface="+mn-cs"/>
            </a:rPr>
            <a:t/>
          </a:r>
          <a:br>
            <a:rPr lang="ja-JP" altLang="ja-JP" sz="1050" b="0" i="0">
              <a:solidFill>
                <a:schemeClr val="dk1"/>
              </a:solidFill>
              <a:latin typeface="ＭＳ ゴシック" pitchFamily="49" charset="-128"/>
              <a:ea typeface="ＭＳ ゴシック" pitchFamily="49" charset="-128"/>
              <a:cs typeface="+mn-cs"/>
            </a:rPr>
          </a:b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・前年の</a:t>
          </a:r>
          <a:r>
            <a:rPr lang="en-US" altLang="ja-JP" sz="1050" b="0" i="0">
              <a:solidFill>
                <a:schemeClr val="dk1"/>
              </a:solidFill>
              <a:latin typeface="ＭＳ 明朝" pitchFamily="17" charset="-128"/>
              <a:ea typeface="ＭＳ 明朝" pitchFamily="17" charset="-128"/>
              <a:cs typeface="+mn-cs"/>
            </a:rPr>
            <a:t>12/31</a:t>
          </a:r>
          <a:r>
            <a:rPr lang="ja-JP" altLang="ja-JP" sz="1050" b="0" i="0">
              <a:solidFill>
                <a:schemeClr val="dk1"/>
              </a:solidFill>
              <a:latin typeface="ＭＳ 明朝" pitchFamily="17" charset="-128"/>
              <a:ea typeface="ＭＳ 明朝" pitchFamily="17" charset="-128"/>
              <a:cs typeface="+mn-cs"/>
            </a:rPr>
            <a:t>時点（平成</a:t>
          </a:r>
          <a:r>
            <a:rPr lang="en-US" altLang="ja-JP" sz="1050" b="0" i="0">
              <a:solidFill>
                <a:schemeClr val="dk1"/>
              </a:solidFill>
              <a:latin typeface="ＭＳ 明朝" pitchFamily="17" charset="-128"/>
              <a:ea typeface="ＭＳ 明朝" pitchFamily="17" charset="-128"/>
              <a:cs typeface="+mn-cs"/>
            </a:rPr>
            <a:t>28</a:t>
          </a:r>
          <a:r>
            <a:rPr lang="ja-JP" altLang="ja-JP" sz="1050" b="0" i="0">
              <a:solidFill>
                <a:schemeClr val="dk1"/>
              </a:solidFill>
              <a:latin typeface="ＭＳ 明朝" pitchFamily="17" charset="-128"/>
              <a:ea typeface="ＭＳ 明朝" pitchFamily="17" charset="-128"/>
              <a:cs typeface="+mn-cs"/>
            </a:rPr>
            <a:t>年度試算の場合は、</a:t>
          </a:r>
          <a:r>
            <a:rPr lang="en-US" altLang="ja-JP" sz="1050" b="0" i="0">
              <a:solidFill>
                <a:schemeClr val="dk1"/>
              </a:solidFill>
              <a:latin typeface="ＭＳ 明朝" pitchFamily="17" charset="-128"/>
              <a:ea typeface="ＭＳ 明朝" pitchFamily="17" charset="-128"/>
              <a:cs typeface="+mn-cs"/>
            </a:rPr>
            <a:t>H27.12.31</a:t>
          </a:r>
          <a:r>
            <a:rPr lang="ja-JP" altLang="ja-JP" sz="1050" b="0" i="0">
              <a:solidFill>
                <a:schemeClr val="dk1"/>
              </a:solidFill>
              <a:latin typeface="ＭＳ 明朝" pitchFamily="17" charset="-128"/>
              <a:ea typeface="ＭＳ 明朝" pitchFamily="17" charset="-128"/>
              <a:cs typeface="+mn-cs"/>
            </a:rPr>
            <a:t>）で</a:t>
          </a:r>
          <a:r>
            <a:rPr lang="en-US" altLang="ja-JP" sz="1050" b="0" i="0">
              <a:solidFill>
                <a:schemeClr val="dk1"/>
              </a:solidFill>
              <a:latin typeface="ＭＳ 明朝" pitchFamily="17" charset="-128"/>
              <a:ea typeface="ＭＳ 明朝" pitchFamily="17" charset="-128"/>
              <a:cs typeface="+mn-cs"/>
            </a:rPr>
            <a:t>65</a:t>
          </a:r>
          <a:r>
            <a:rPr lang="ja-JP" altLang="ja-JP" sz="1050" b="0" i="0">
              <a:solidFill>
                <a:schemeClr val="dk1"/>
              </a:solidFill>
              <a:latin typeface="ＭＳ 明朝" pitchFamily="17" charset="-128"/>
              <a:ea typeface="ＭＳ 明朝" pitchFamily="17" charset="-128"/>
              <a:cs typeface="+mn-cs"/>
            </a:rPr>
            <a:t>歳以上の方は、年金所得から</a:t>
          </a:r>
          <a:r>
            <a:rPr lang="en-US" altLang="ja-JP" sz="1050" b="0" i="0">
              <a:solidFill>
                <a:schemeClr val="dk1"/>
              </a:solidFill>
              <a:latin typeface="ＭＳ 明朝" pitchFamily="17" charset="-128"/>
              <a:ea typeface="ＭＳ 明朝" pitchFamily="17" charset="-128"/>
              <a:cs typeface="+mn-cs"/>
            </a:rPr>
            <a:t>15</a:t>
          </a:r>
          <a:r>
            <a:rPr lang="ja-JP" altLang="ja-JP" sz="1050" b="0" i="0">
              <a:solidFill>
                <a:schemeClr val="dk1"/>
              </a:solidFill>
              <a:latin typeface="ＭＳ 明朝" pitchFamily="17" charset="-128"/>
              <a:ea typeface="ＭＳ 明朝" pitchFamily="17" charset="-128"/>
              <a:cs typeface="+mn-cs"/>
            </a:rPr>
            <a:t>万円を控除して下さい。</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・事業所得で専従者控除額がある方は、控除前の金額で事業所得を計上して下さい。</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・専従者給与については、軽減判定基準所得に含みません。</a:t>
          </a:r>
          <a:r>
            <a:rPr lang="ja-JP" altLang="ja-JP" sz="105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　</a:t>
          </a:r>
          <a:r>
            <a:rPr lang="ja-JP" altLang="ja-JP" sz="1050">
              <a:solidFill>
                <a:schemeClr val="dk1"/>
              </a:solidFill>
              <a:latin typeface="ＭＳ 明朝" pitchFamily="17" charset="-128"/>
              <a:ea typeface="ＭＳ 明朝" pitchFamily="17" charset="-128"/>
              <a:cs typeface="+mn-cs"/>
            </a:rPr>
            <a:t> </a:t>
          </a:r>
          <a:r>
            <a:rPr lang="en-US" altLang="ja-JP" sz="1050" b="0" i="0">
              <a:solidFill>
                <a:schemeClr val="dk1"/>
              </a:solidFill>
              <a:latin typeface="ＭＳ 明朝" pitchFamily="17" charset="-128"/>
              <a:ea typeface="ＭＳ 明朝" pitchFamily="17" charset="-128"/>
              <a:cs typeface="+mn-cs"/>
            </a:rPr>
            <a:t>※②</a:t>
          </a:r>
          <a:r>
            <a:rPr lang="ja-JP" altLang="ja-JP" sz="1050" b="0" i="0">
              <a:solidFill>
                <a:schemeClr val="dk1"/>
              </a:solidFill>
              <a:latin typeface="ＭＳ 明朝" pitchFamily="17" charset="-128"/>
              <a:ea typeface="ＭＳ 明朝" pitchFamily="17" charset="-128"/>
              <a:cs typeface="+mn-cs"/>
            </a:rPr>
            <a:t>・③における専従者控除・給与の計上方法は、</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専従者控除は、②→</a:t>
          </a:r>
          <a:r>
            <a:rPr lang="ja-JP" altLang="ja-JP" sz="1050" b="0" i="0" u="sng">
              <a:solidFill>
                <a:schemeClr val="dk1"/>
              </a:solidFill>
              <a:latin typeface="ＭＳ 明朝" pitchFamily="17" charset="-128"/>
              <a:ea typeface="ＭＳ 明朝" pitchFamily="17" charset="-128"/>
              <a:cs typeface="+mn-cs"/>
            </a:rPr>
            <a:t>控除後の金額</a:t>
          </a:r>
          <a:r>
            <a:rPr lang="ja-JP" altLang="ja-JP" sz="1050" b="0" i="0">
              <a:solidFill>
                <a:schemeClr val="dk1"/>
              </a:solidFill>
              <a:latin typeface="ＭＳ 明朝" pitchFamily="17" charset="-128"/>
              <a:ea typeface="ＭＳ 明朝" pitchFamily="17" charset="-128"/>
              <a:cs typeface="+mn-cs"/>
            </a:rPr>
            <a:t>で事業所得を計上する、③→</a:t>
          </a:r>
          <a:r>
            <a:rPr lang="ja-JP" altLang="ja-JP" sz="1050" b="0" i="0" u="sng">
              <a:solidFill>
                <a:schemeClr val="dk1"/>
              </a:solidFill>
              <a:latin typeface="ＭＳ 明朝" pitchFamily="17" charset="-128"/>
              <a:ea typeface="ＭＳ 明朝" pitchFamily="17" charset="-128"/>
              <a:cs typeface="+mn-cs"/>
            </a:rPr>
            <a:t>控除前の金額</a:t>
          </a:r>
          <a:r>
            <a:rPr lang="ja-JP" altLang="ja-JP" sz="1050" b="0" i="0">
              <a:solidFill>
                <a:schemeClr val="dk1"/>
              </a:solidFill>
              <a:latin typeface="ＭＳ 明朝" pitchFamily="17" charset="-128"/>
              <a:ea typeface="ＭＳ 明朝" pitchFamily="17" charset="-128"/>
              <a:cs typeface="+mn-cs"/>
            </a:rPr>
            <a:t>で事業所得を計上する、</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専従者給与は、②→給与収入金額に</a:t>
          </a:r>
          <a:r>
            <a:rPr lang="ja-JP" altLang="ja-JP" sz="1050" b="0" i="0" u="sng">
              <a:solidFill>
                <a:schemeClr val="dk1"/>
              </a:solidFill>
              <a:latin typeface="ＭＳ 明朝" pitchFamily="17" charset="-128"/>
              <a:ea typeface="ＭＳ 明朝" pitchFamily="17" charset="-128"/>
              <a:cs typeface="+mn-cs"/>
            </a:rPr>
            <a:t>計上する</a:t>
          </a:r>
          <a:r>
            <a:rPr lang="ja-JP" altLang="ja-JP" sz="1050" b="0" i="0">
              <a:solidFill>
                <a:schemeClr val="dk1"/>
              </a:solidFill>
              <a:latin typeface="ＭＳ 明朝" pitchFamily="17" charset="-128"/>
              <a:ea typeface="ＭＳ 明朝" pitchFamily="17" charset="-128"/>
              <a:cs typeface="+mn-cs"/>
            </a:rPr>
            <a:t>、③→給与収入金額に</a:t>
          </a:r>
          <a:r>
            <a:rPr lang="ja-JP" altLang="ja-JP" sz="1050" b="0" i="0" u="sng">
              <a:solidFill>
                <a:schemeClr val="dk1"/>
              </a:solidFill>
              <a:latin typeface="ＭＳ 明朝" pitchFamily="17" charset="-128"/>
              <a:ea typeface="ＭＳ 明朝" pitchFamily="17" charset="-128"/>
              <a:cs typeface="+mn-cs"/>
            </a:rPr>
            <a:t>計上しない</a:t>
          </a:r>
          <a:r>
            <a:rPr lang="ja-JP" altLang="ja-JP" sz="1050" b="0" i="0">
              <a:solidFill>
                <a:schemeClr val="dk1"/>
              </a:solidFill>
              <a:latin typeface="ＭＳ 明朝" pitchFamily="17" charset="-128"/>
              <a:ea typeface="ＭＳ 明朝" pitchFamily="17" charset="-128"/>
              <a:cs typeface="+mn-cs"/>
            </a:rPr>
            <a:t>。</a:t>
          </a:r>
          <a:endParaRPr lang="en-US" altLang="ja-JP" sz="1050" b="0" i="0">
            <a:solidFill>
              <a:schemeClr val="dk1"/>
            </a:solidFill>
            <a:latin typeface="ＭＳ 明朝" pitchFamily="17" charset="-128"/>
            <a:ea typeface="ＭＳ 明朝" pitchFamily="17" charset="-128"/>
            <a:cs typeface="+mn-cs"/>
          </a:endParaRPr>
        </a:p>
        <a:p>
          <a:pPr>
            <a:lnSpc>
              <a:spcPts val="1500"/>
            </a:lnSpc>
          </a:pPr>
          <a:endParaRPr lang="en-US" altLang="ja-JP" sz="1050" b="1" i="0">
            <a:solidFill>
              <a:schemeClr val="dk1"/>
            </a:solidFill>
            <a:latin typeface="ＭＳ 明朝" pitchFamily="17" charset="-128"/>
            <a:ea typeface="ＭＳ 明朝" pitchFamily="17" charset="-128"/>
            <a:cs typeface="+mn-cs"/>
          </a:endParaRPr>
        </a:p>
        <a:p>
          <a:pPr>
            <a:lnSpc>
              <a:spcPts val="1500"/>
            </a:lnSpc>
          </a:pPr>
          <a:r>
            <a:rPr lang="ja-JP" altLang="en-US" sz="1050" b="1" i="0">
              <a:solidFill>
                <a:schemeClr val="dk1"/>
              </a:solidFill>
              <a:latin typeface="ＭＳ ゴシック" pitchFamily="49" charset="-128"/>
              <a:ea typeface="ＭＳ ゴシック" pitchFamily="49" charset="-128"/>
              <a:cs typeface="+mn-cs"/>
            </a:rPr>
            <a:t>③</a:t>
          </a:r>
          <a:r>
            <a:rPr lang="ja-JP" altLang="ja-JP" sz="1050" b="1" i="0">
              <a:solidFill>
                <a:schemeClr val="dk1"/>
              </a:solidFill>
              <a:latin typeface="ＭＳ ゴシック" pitchFamily="49" charset="-128"/>
              <a:ea typeface="ＭＳ ゴシック" pitchFamily="49" charset="-128"/>
              <a:cs typeface="+mn-cs"/>
            </a:rPr>
            <a:t>　総所得金額</a:t>
          </a:r>
          <a:endParaRPr lang="en-US" altLang="ja-JP" sz="1050" b="1" i="0">
            <a:solidFill>
              <a:schemeClr val="dk1"/>
            </a:solidFill>
            <a:latin typeface="ＭＳ ゴシック" pitchFamily="49" charset="-128"/>
            <a:ea typeface="ＭＳ ゴシック" pitchFamily="49" charset="-128"/>
            <a:cs typeface="+mn-cs"/>
          </a:endParaRPr>
        </a:p>
        <a:p>
          <a:pPr>
            <a:lnSpc>
              <a:spcPts val="1500"/>
            </a:lnSpc>
          </a:pPr>
          <a:r>
            <a:rPr lang="ja-JP" altLang="en-US" sz="1050" b="1" i="0">
              <a:solidFill>
                <a:schemeClr val="dk1"/>
              </a:solidFill>
              <a:latin typeface="ＭＳ ゴシック" pitchFamily="49" charset="-128"/>
              <a:ea typeface="ＭＳ ゴシック" pitchFamily="49" charset="-128"/>
              <a:cs typeface="+mn-cs"/>
            </a:rPr>
            <a:t>　　</a:t>
          </a:r>
          <a:r>
            <a:rPr lang="ja-JP" altLang="ja-JP" sz="1050" b="1" i="0">
              <a:solidFill>
                <a:schemeClr val="dk1"/>
              </a:solidFill>
              <a:latin typeface="ＭＳ ゴシック" pitchFamily="49" charset="-128"/>
              <a:ea typeface="ＭＳ ゴシック" pitchFamily="49" charset="-128"/>
              <a:cs typeface="+mn-cs"/>
            </a:rPr>
            <a:t>年金・給与・事業所得等と分離課税として申告された株式の譲渡所得や配当所得・土地等の譲渡所得・山林所得等の所得の合計を入力して下さい。</a:t>
          </a:r>
          <a:endParaRPr lang="en-US" altLang="ja-JP" sz="1050" b="1" i="0">
            <a:solidFill>
              <a:schemeClr val="dk1"/>
            </a:solidFill>
            <a:latin typeface="ＭＳ ゴシック" pitchFamily="49" charset="-128"/>
            <a:ea typeface="ＭＳ ゴシック" pitchFamily="49" charset="-128"/>
            <a:cs typeface="+mn-cs"/>
          </a:endParaRPr>
        </a:p>
        <a:p>
          <a:pPr>
            <a:lnSpc>
              <a:spcPts val="1500"/>
            </a:lnSpc>
          </a:pPr>
          <a:r>
            <a:rPr lang="ja-JP" altLang="en-US" sz="1050" b="1" i="0">
              <a:solidFill>
                <a:schemeClr val="dk1"/>
              </a:solidFill>
              <a:latin typeface="ＭＳ ゴシック" pitchFamily="49" charset="-128"/>
              <a:ea typeface="ＭＳ ゴシック" pitchFamily="49" charset="-128"/>
              <a:cs typeface="+mn-cs"/>
            </a:rPr>
            <a:t>　　</a:t>
          </a:r>
          <a:r>
            <a:rPr lang="ja-JP" altLang="ja-JP" sz="1050" b="1" i="0">
              <a:solidFill>
                <a:schemeClr val="dk1"/>
              </a:solidFill>
              <a:latin typeface="ＭＳ ゴシック" pitchFamily="49" charset="-128"/>
              <a:ea typeface="ＭＳ ゴシック" pitchFamily="49" charset="-128"/>
              <a:cs typeface="+mn-cs"/>
            </a:rPr>
            <a:t>なお、退職所得は含みません。</a:t>
          </a:r>
          <a:r>
            <a:rPr lang="ja-JP" altLang="ja-JP" sz="1050" b="0" i="0">
              <a:solidFill>
                <a:schemeClr val="dk1"/>
              </a:solidFill>
              <a:latin typeface="ＭＳ 明朝" pitchFamily="17" charset="-128"/>
              <a:ea typeface="ＭＳ 明朝" pitchFamily="17" charset="-128"/>
              <a:cs typeface="+mn-cs"/>
            </a:rPr>
            <a:t/>
          </a:r>
          <a:br>
            <a:rPr lang="ja-JP" altLang="ja-JP" sz="1050" b="0" i="0">
              <a:solidFill>
                <a:schemeClr val="dk1"/>
              </a:solidFill>
              <a:latin typeface="ＭＳ 明朝" pitchFamily="17" charset="-128"/>
              <a:ea typeface="ＭＳ 明朝" pitchFamily="17" charset="-128"/>
              <a:cs typeface="+mn-cs"/>
            </a:rPr>
          </a:b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　・年金所得＝公的年金等収入－公的年金等控除</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      </a:t>
          </a:r>
          <a:r>
            <a:rPr lang="en-US" altLang="ja-JP" sz="1050" b="0" i="0">
              <a:solidFill>
                <a:schemeClr val="dk1"/>
              </a:solidFill>
              <a:latin typeface="ＭＳ 明朝" pitchFamily="17" charset="-128"/>
              <a:ea typeface="ＭＳ 明朝" pitchFamily="17" charset="-128"/>
              <a:cs typeface="+mn-cs"/>
            </a:rPr>
            <a:t>※</a:t>
          </a:r>
          <a:r>
            <a:rPr lang="ja-JP" altLang="ja-JP" sz="1050" b="0" i="0">
              <a:solidFill>
                <a:schemeClr val="dk1"/>
              </a:solidFill>
              <a:latin typeface="ＭＳ 明朝" pitchFamily="17" charset="-128"/>
              <a:ea typeface="ＭＳ 明朝" pitchFamily="17" charset="-128"/>
              <a:cs typeface="+mn-cs"/>
            </a:rPr>
            <a:t>遺族年金、障害年金等の非課税年金は、年金所得に含みません。</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・給与所得＝給与収入金額－給与所得控除</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・事業所得＝事業収入金額－必要経費</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　　　</a:t>
          </a:r>
          <a:r>
            <a:rPr lang="en-US" altLang="ja-JP" sz="1050" b="0" i="0">
              <a:solidFill>
                <a:schemeClr val="dk1"/>
              </a:solidFill>
              <a:latin typeface="ＭＳ 明朝" pitchFamily="17" charset="-128"/>
              <a:ea typeface="ＭＳ 明朝" pitchFamily="17" charset="-128"/>
              <a:cs typeface="+mn-cs"/>
            </a:rPr>
            <a:t>※</a:t>
          </a:r>
          <a:r>
            <a:rPr lang="ja-JP" altLang="ja-JP" sz="1050" b="0" i="0">
              <a:solidFill>
                <a:schemeClr val="dk1"/>
              </a:solidFill>
              <a:latin typeface="ＭＳ 明朝" pitchFamily="17" charset="-128"/>
              <a:ea typeface="ＭＳ 明朝" pitchFamily="17" charset="-128"/>
              <a:cs typeface="+mn-cs"/>
            </a:rPr>
            <a:t>専従者控除額がある方の事業所得は、控除後の所得となります。</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　　　　青色事業専従者給与額は必要経費に算入されます。</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・土地等譲渡所得＝譲渡所得金額－特別控除</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・株式等の譲渡所得等＝総収入金額－取得費等の経費</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　　　</a:t>
          </a:r>
          <a:r>
            <a:rPr lang="en-US" altLang="ja-JP" sz="1050" b="0" i="0">
              <a:solidFill>
                <a:schemeClr val="dk1"/>
              </a:solidFill>
              <a:latin typeface="ＭＳ 明朝" pitchFamily="17" charset="-128"/>
              <a:ea typeface="ＭＳ 明朝" pitchFamily="17" charset="-128"/>
              <a:cs typeface="+mn-cs"/>
            </a:rPr>
            <a:t>※</a:t>
          </a:r>
          <a:r>
            <a:rPr lang="ja-JP" altLang="ja-JP" sz="1050" b="0" i="0">
              <a:solidFill>
                <a:schemeClr val="dk1"/>
              </a:solidFill>
              <a:latin typeface="ＭＳ 明朝" pitchFamily="17" charset="-128"/>
              <a:ea typeface="ＭＳ 明朝" pitchFamily="17" charset="-128"/>
              <a:cs typeface="+mn-cs"/>
            </a:rPr>
            <a:t>等年分の株式等に係る譲渡所得等の金額の損失額については、</a:t>
          </a:r>
          <a:endParaRPr lang="en-US" altLang="ja-JP" sz="1050" b="0" i="0">
            <a:solidFill>
              <a:schemeClr val="dk1"/>
            </a:solidFill>
            <a:latin typeface="ＭＳ 明朝" pitchFamily="17" charset="-128"/>
            <a:ea typeface="ＭＳ 明朝" pitchFamily="17" charset="-128"/>
            <a:cs typeface="+mn-cs"/>
          </a:endParaRPr>
        </a:p>
        <a:p>
          <a:pPr>
            <a:lnSpc>
              <a:spcPts val="1500"/>
            </a:lnSpc>
          </a:pP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他の株式等に係る譲渡所得等の金額及び株式等に係る譲渡所得等の金額及び配当所得の金額から繰越控除できます。</a:t>
          </a:r>
          <a:br>
            <a:rPr lang="ja-JP" altLang="ja-JP" sz="1050" b="0" i="0">
              <a:solidFill>
                <a:schemeClr val="dk1"/>
              </a:solidFill>
              <a:latin typeface="ＭＳ 明朝" pitchFamily="17" charset="-128"/>
              <a:ea typeface="ＭＳ 明朝" pitchFamily="17" charset="-128"/>
              <a:cs typeface="+mn-cs"/>
            </a:rPr>
          </a:br>
          <a:r>
            <a:rPr lang="ja-JP" altLang="ja-JP" sz="1050" b="0" i="0">
              <a:solidFill>
                <a:schemeClr val="dk1"/>
              </a:solidFill>
              <a:latin typeface="ＭＳ 明朝" pitchFamily="17" charset="-128"/>
              <a:ea typeface="ＭＳ 明朝" pitchFamily="17" charset="-128"/>
              <a:cs typeface="+mn-cs"/>
            </a:rPr>
            <a:t>　</a:t>
          </a:r>
          <a:r>
            <a:rPr lang="ja-JP" altLang="en-US" sz="1050" b="0" i="0">
              <a:solidFill>
                <a:schemeClr val="dk1"/>
              </a:solidFill>
              <a:latin typeface="ＭＳ 明朝" pitchFamily="17" charset="-128"/>
              <a:ea typeface="ＭＳ 明朝" pitchFamily="17" charset="-128"/>
              <a:cs typeface="+mn-cs"/>
            </a:rPr>
            <a:t>　</a:t>
          </a:r>
          <a:r>
            <a:rPr lang="ja-JP" altLang="ja-JP" sz="1050" b="0" i="0">
              <a:solidFill>
                <a:schemeClr val="dk1"/>
              </a:solidFill>
              <a:latin typeface="ＭＳ 明朝" pitchFamily="17" charset="-128"/>
              <a:ea typeface="ＭＳ 明朝" pitchFamily="17" charset="-128"/>
              <a:cs typeface="+mn-cs"/>
            </a:rPr>
            <a:t>　　　</a:t>
          </a:r>
          <a:r>
            <a:rPr lang="en-US" altLang="ja-JP" sz="1050" b="0" i="0">
              <a:solidFill>
                <a:schemeClr val="dk1"/>
              </a:solidFill>
              <a:latin typeface="ＭＳ 明朝" pitchFamily="17" charset="-128"/>
              <a:ea typeface="ＭＳ 明朝" pitchFamily="17" charset="-128"/>
              <a:cs typeface="+mn-cs"/>
            </a:rPr>
            <a:t>※</a:t>
          </a:r>
          <a:r>
            <a:rPr lang="ja-JP" altLang="ja-JP" sz="1050" b="0" i="0">
              <a:solidFill>
                <a:schemeClr val="dk1"/>
              </a:solidFill>
              <a:latin typeface="ＭＳ 明朝" pitchFamily="17" charset="-128"/>
              <a:ea typeface="ＭＳ 明朝" pitchFamily="17" charset="-128"/>
              <a:cs typeface="+mn-cs"/>
            </a:rPr>
            <a:t>源泉徴収を選択した特定口座内の株式等の譲渡所得を確定申告した場合は、総所得金額等に含まれます。</a:t>
          </a:r>
          <a:endParaRPr lang="en-US" altLang="ja-JP" sz="1050" b="0" i="0">
            <a:solidFill>
              <a:schemeClr val="dk1"/>
            </a:solidFill>
            <a:latin typeface="ＭＳ 明朝" pitchFamily="17" charset="-128"/>
            <a:ea typeface="ＭＳ 明朝" pitchFamily="17" charset="-128"/>
            <a:cs typeface="+mn-cs"/>
          </a:endParaRPr>
        </a:p>
        <a:p>
          <a:pPr>
            <a:lnSpc>
              <a:spcPts val="1500"/>
            </a:lnSpc>
          </a:pP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r>
            <a:rPr lang="ja-JP" altLang="en-US" sz="1050" b="1" i="0" u="none" strike="noStrike">
              <a:solidFill>
                <a:schemeClr val="dk1"/>
              </a:solidFill>
              <a:latin typeface="ＭＳ ゴシック" pitchFamily="49" charset="-128"/>
              <a:ea typeface="ＭＳ ゴシック" pitchFamily="49" charset="-128"/>
              <a:cs typeface="+mn-cs"/>
            </a:rPr>
            <a:t>④　加入状況</a:t>
          </a:r>
          <a:endParaRPr lang="en-US" altLang="ja-JP" sz="1050" b="1" i="0" u="none" strike="noStrike">
            <a:solidFill>
              <a:schemeClr val="dk1"/>
            </a:solidFill>
            <a:latin typeface="ＭＳ ゴシック" pitchFamily="49" charset="-128"/>
            <a:ea typeface="ＭＳ ゴシック" pitchFamily="49" charset="-128"/>
            <a:cs typeface="+mn-cs"/>
          </a:endParaRPr>
        </a:p>
        <a:p>
          <a:pPr>
            <a:lnSpc>
              <a:spcPts val="1500"/>
            </a:lnSpc>
          </a:pPr>
          <a:r>
            <a:rPr lang="ja-JP" altLang="en-US" sz="1050" b="1" i="0" u="none" strike="noStrike">
              <a:solidFill>
                <a:schemeClr val="dk1"/>
              </a:solidFill>
              <a:latin typeface="ＭＳ ゴシック" pitchFamily="49" charset="-128"/>
              <a:ea typeface="ＭＳ ゴシック" pitchFamily="49" charset="-128"/>
              <a:cs typeface="+mn-cs"/>
            </a:rPr>
            <a:t>　　各月の</a:t>
          </a:r>
          <a:r>
            <a:rPr lang="ja-JP" altLang="en-US" sz="1050" b="1" i="0" u="sng" strike="noStrike">
              <a:solidFill>
                <a:schemeClr val="dk1"/>
              </a:solidFill>
              <a:latin typeface="ＭＳ ゴシック" pitchFamily="49" charset="-128"/>
              <a:ea typeface="ＭＳ ゴシック" pitchFamily="49" charset="-128"/>
              <a:cs typeface="+mn-cs"/>
            </a:rPr>
            <a:t>末日時点の加入状況</a:t>
          </a:r>
          <a:r>
            <a:rPr lang="ja-JP" altLang="en-US" sz="1050" b="1" i="0" u="none" strike="noStrike">
              <a:solidFill>
                <a:schemeClr val="dk1"/>
              </a:solidFill>
              <a:latin typeface="ＭＳ ゴシック" pitchFamily="49" charset="-128"/>
              <a:ea typeface="ＭＳ ゴシック" pitchFamily="49" charset="-128"/>
              <a:cs typeface="+mn-cs"/>
            </a:rPr>
            <a:t>を入力してください。</a:t>
          </a:r>
          <a:endParaRPr lang="en-US" altLang="ja-JP" sz="1050" b="1" i="0" u="none" strike="noStrike">
            <a:solidFill>
              <a:schemeClr val="dk1"/>
            </a:solidFill>
            <a:latin typeface="ＭＳ ゴシック" pitchFamily="49" charset="-128"/>
            <a:ea typeface="ＭＳ ゴシック" pitchFamily="49" charset="-128"/>
            <a:cs typeface="+mn-cs"/>
          </a:endParaRPr>
        </a:p>
        <a:p>
          <a:pPr>
            <a:lnSpc>
              <a:spcPts val="1500"/>
            </a:lnSpc>
          </a:pPr>
          <a:r>
            <a:rPr lang="ja-JP" altLang="en-US" sz="1050" b="1" i="0" u="none" strike="noStrike">
              <a:solidFill>
                <a:schemeClr val="dk1"/>
              </a:solidFill>
              <a:latin typeface="ＭＳ ゴシック" pitchFamily="49" charset="-128"/>
              <a:ea typeface="ＭＳ ゴシック" pitchFamily="49" charset="-128"/>
              <a:cs typeface="+mn-cs"/>
            </a:rPr>
            <a:t>　　</a:t>
          </a:r>
          <a:r>
            <a:rPr lang="en-US" altLang="ja-JP" sz="1050" b="1" i="0" u="none" strike="noStrike">
              <a:solidFill>
                <a:schemeClr val="dk1"/>
              </a:solidFill>
              <a:latin typeface="ＭＳ ゴシック" pitchFamily="49" charset="-128"/>
              <a:ea typeface="ＭＳ ゴシック" pitchFamily="49" charset="-128"/>
              <a:cs typeface="+mn-cs"/>
            </a:rPr>
            <a:t>40</a:t>
          </a:r>
          <a:r>
            <a:rPr lang="ja-JP" altLang="en-US" sz="1050" b="1" i="0" u="none" strike="noStrike">
              <a:solidFill>
                <a:schemeClr val="dk1"/>
              </a:solidFill>
              <a:latin typeface="ＭＳ ゴシック" pitchFamily="49" charset="-128"/>
              <a:ea typeface="ＭＳ ゴシック" pitchFamily="49" charset="-128"/>
              <a:cs typeface="+mn-cs"/>
            </a:rPr>
            <a:t>歳以上</a:t>
          </a:r>
          <a:r>
            <a:rPr lang="en-US" altLang="ja-JP" sz="1050" b="1" i="0" u="none" strike="noStrike">
              <a:solidFill>
                <a:schemeClr val="dk1"/>
              </a:solidFill>
              <a:latin typeface="ＭＳ ゴシック" pitchFamily="49" charset="-128"/>
              <a:ea typeface="ＭＳ ゴシック" pitchFamily="49" charset="-128"/>
              <a:cs typeface="+mn-cs"/>
            </a:rPr>
            <a:t>65</a:t>
          </a:r>
          <a:r>
            <a:rPr lang="ja-JP" altLang="en-US" sz="1050" b="1" i="0" u="none" strike="noStrike">
              <a:solidFill>
                <a:schemeClr val="dk1"/>
              </a:solidFill>
              <a:latin typeface="ＭＳ ゴシック" pitchFamily="49" charset="-128"/>
              <a:ea typeface="ＭＳ ゴシック" pitchFamily="49" charset="-128"/>
              <a:cs typeface="+mn-cs"/>
            </a:rPr>
            <a:t>歳未満の方は　●介護　を、それ以外の方は　○　を入力して下さい。</a:t>
          </a:r>
          <a:endParaRPr lang="en-US" altLang="ja-JP" sz="1050" b="1" i="0" u="none" strike="noStrike">
            <a:solidFill>
              <a:schemeClr val="dk1"/>
            </a:solidFill>
            <a:latin typeface="ＭＳ ゴシック" pitchFamily="49" charset="-128"/>
            <a:ea typeface="ＭＳ ゴシック" pitchFamily="49" charset="-128"/>
            <a:cs typeface="+mn-cs"/>
          </a:endParaRPr>
        </a:p>
        <a:p>
          <a:pPr>
            <a:lnSpc>
              <a:spcPts val="1500"/>
            </a:lnSpc>
          </a:pPr>
          <a:r>
            <a:rPr lang="ja-JP" altLang="en-US" sz="1050" b="1" i="0" u="none" strike="noStrike">
              <a:solidFill>
                <a:schemeClr val="dk1"/>
              </a:solidFill>
              <a:latin typeface="ＭＳ ゴシック" pitchFamily="49" charset="-128"/>
              <a:ea typeface="ＭＳ ゴシック" pitchFamily="49" charset="-128"/>
              <a:cs typeface="+mn-cs"/>
            </a:rPr>
            <a:t>　　　　　</a:t>
          </a:r>
          <a:r>
            <a:rPr lang="en-US" altLang="ja-JP" sz="1050" b="0" i="0" u="none" strike="noStrike">
              <a:solidFill>
                <a:schemeClr val="dk1"/>
              </a:solidFill>
              <a:latin typeface="ＭＳ 明朝" pitchFamily="17" charset="-128"/>
              <a:ea typeface="ＭＳ 明朝" pitchFamily="17" charset="-128"/>
              <a:cs typeface="+mn-cs"/>
            </a:rPr>
            <a:t>※40</a:t>
          </a:r>
          <a:r>
            <a:rPr lang="ja-JP" altLang="en-US" sz="1050" b="0" i="0" u="none" strike="noStrike">
              <a:solidFill>
                <a:schemeClr val="dk1"/>
              </a:solidFill>
              <a:latin typeface="ＭＳ 明朝" pitchFamily="17" charset="-128"/>
              <a:ea typeface="ＭＳ 明朝" pitchFamily="17" charset="-128"/>
              <a:cs typeface="+mn-cs"/>
            </a:rPr>
            <a:t>歳以上</a:t>
          </a:r>
          <a:r>
            <a:rPr lang="en-US" altLang="ja-JP" sz="1050" b="0" i="0" u="none" strike="noStrike">
              <a:solidFill>
                <a:schemeClr val="dk1"/>
              </a:solidFill>
              <a:latin typeface="ＭＳ 明朝" pitchFamily="17" charset="-128"/>
              <a:ea typeface="ＭＳ 明朝" pitchFamily="17" charset="-128"/>
              <a:cs typeface="+mn-cs"/>
            </a:rPr>
            <a:t>65</a:t>
          </a:r>
          <a:r>
            <a:rPr lang="ja-JP" altLang="en-US" sz="1050" b="0" i="0" u="none" strike="noStrike">
              <a:solidFill>
                <a:schemeClr val="dk1"/>
              </a:solidFill>
              <a:latin typeface="ＭＳ 明朝" pitchFamily="17" charset="-128"/>
              <a:ea typeface="ＭＳ 明朝" pitchFamily="17" charset="-128"/>
              <a:cs typeface="+mn-cs"/>
            </a:rPr>
            <a:t>歳未満の方は、介護保険料が国民健康保険料の一部として賦課されます。</a:t>
          </a:r>
          <a:r>
            <a:rPr lang="en-US" altLang="ja-JP" sz="1050" b="0" i="0" u="none" strike="noStrike">
              <a:solidFill>
                <a:schemeClr val="dk1"/>
              </a:solidFill>
              <a:latin typeface="ＭＳ 明朝" pitchFamily="17" charset="-128"/>
              <a:ea typeface="ＭＳ 明朝" pitchFamily="17" charset="-128"/>
              <a:cs typeface="+mn-cs"/>
            </a:rPr>
            <a:t>65</a:t>
          </a:r>
          <a:r>
            <a:rPr lang="ja-JP" altLang="en-US" sz="1050" b="0" i="0" u="none" strike="noStrike">
              <a:solidFill>
                <a:schemeClr val="dk1"/>
              </a:solidFill>
              <a:latin typeface="ＭＳ 明朝" pitchFamily="17" charset="-128"/>
              <a:ea typeface="ＭＳ 明朝" pitchFamily="17" charset="-128"/>
              <a:cs typeface="+mn-cs"/>
            </a:rPr>
            <a:t>歳以上の方は、別途、介護保険料が賦課されます。</a:t>
          </a:r>
          <a:endParaRPr lang="en-US" altLang="ja-JP" sz="1050" b="1" i="0" u="none" strike="noStrike">
            <a:solidFill>
              <a:schemeClr val="dk1"/>
            </a:solidFill>
            <a:latin typeface="ＭＳ ゴシック" pitchFamily="49" charset="-128"/>
            <a:ea typeface="ＭＳ ゴシック" pitchFamily="49" charset="-128"/>
            <a:cs typeface="+mn-cs"/>
          </a:endParaRPr>
        </a:p>
        <a:p>
          <a:pPr>
            <a:lnSpc>
              <a:spcPts val="1500"/>
            </a:lnSpc>
          </a:pPr>
          <a:r>
            <a:rPr lang="ja-JP" altLang="en-US" sz="1050" b="1" i="0" u="none" strike="noStrike">
              <a:solidFill>
                <a:schemeClr val="dk1"/>
              </a:solidFill>
              <a:latin typeface="ＭＳ ゴシック" pitchFamily="49" charset="-128"/>
              <a:ea typeface="ＭＳ ゴシック" pitchFamily="49" charset="-128"/>
              <a:cs typeface="+mn-cs"/>
            </a:rPr>
            <a:t>　　また、年度途中で</a:t>
          </a:r>
          <a:r>
            <a:rPr lang="en-US" altLang="ja-JP" sz="1050" b="1" i="0" u="none" strike="noStrike">
              <a:solidFill>
                <a:schemeClr val="dk1"/>
              </a:solidFill>
              <a:latin typeface="ＭＳ ゴシック" pitchFamily="49" charset="-128"/>
              <a:ea typeface="ＭＳ ゴシック" pitchFamily="49" charset="-128"/>
              <a:cs typeface="+mn-cs"/>
            </a:rPr>
            <a:t>75</a:t>
          </a:r>
          <a:r>
            <a:rPr lang="ja-JP" altLang="en-US" sz="1050" b="1" i="0" u="none" strike="noStrike">
              <a:solidFill>
                <a:schemeClr val="dk1"/>
              </a:solidFill>
              <a:latin typeface="ＭＳ ゴシック" pitchFamily="49" charset="-128"/>
              <a:ea typeface="ＭＳ ゴシック" pitchFamily="49" charset="-128"/>
              <a:cs typeface="+mn-cs"/>
            </a:rPr>
            <a:t>歳を迎える（＝後期高齢者医療保険にきりかわる）方は、</a:t>
          </a:r>
          <a:r>
            <a:rPr lang="en-US" altLang="ja-JP" sz="1050" b="1" i="0" u="none" strike="noStrike">
              <a:solidFill>
                <a:schemeClr val="dk1"/>
              </a:solidFill>
              <a:latin typeface="ＭＳ ゴシック" pitchFamily="49" charset="-128"/>
              <a:ea typeface="ＭＳ ゴシック" pitchFamily="49" charset="-128"/>
              <a:cs typeface="+mn-cs"/>
            </a:rPr>
            <a:t>75</a:t>
          </a:r>
          <a:r>
            <a:rPr lang="ja-JP" altLang="en-US" sz="1050" b="1" i="0" u="none" strike="noStrike">
              <a:solidFill>
                <a:schemeClr val="dk1"/>
              </a:solidFill>
              <a:latin typeface="ＭＳ ゴシック" pitchFamily="49" charset="-128"/>
              <a:ea typeface="ＭＳ ゴシック" pitchFamily="49" charset="-128"/>
              <a:cs typeface="+mn-cs"/>
            </a:rPr>
            <a:t>歳になる前月まで○を入力して下さい。</a:t>
          </a:r>
          <a:r>
            <a:rPr lang="ja-JP" altLang="en-US" sz="1050" b="0" i="0" u="none" strike="noStrike">
              <a:solidFill>
                <a:schemeClr val="dk1"/>
              </a:solidFill>
              <a:latin typeface="ＭＳ 明朝" pitchFamily="17" charset="-128"/>
              <a:ea typeface="ＭＳ 明朝" pitchFamily="17" charset="-128"/>
              <a:cs typeface="+mn-cs"/>
            </a:rPr>
            <a:t/>
          </a:r>
          <a:br>
            <a:rPr lang="ja-JP" altLang="en-US" sz="1050" b="0" i="0" u="none" strike="noStrike">
              <a:solidFill>
                <a:schemeClr val="dk1"/>
              </a:solidFill>
              <a:latin typeface="ＭＳ 明朝" pitchFamily="17" charset="-128"/>
              <a:ea typeface="ＭＳ 明朝" pitchFamily="17" charset="-128"/>
              <a:cs typeface="+mn-cs"/>
            </a:rPr>
          </a:br>
          <a:r>
            <a:rPr lang="ja-JP" altLang="en-US" sz="1050" b="0" i="0" u="none" strike="noStrike">
              <a:solidFill>
                <a:schemeClr val="dk1"/>
              </a:solidFill>
              <a:latin typeface="ＭＳ 明朝" pitchFamily="17" charset="-128"/>
              <a:ea typeface="ＭＳ 明朝" pitchFamily="17" charset="-128"/>
              <a:cs typeface="+mn-cs"/>
            </a:rPr>
            <a:t>　　　　　</a:t>
          </a:r>
          <a:r>
            <a:rPr lang="en-US" altLang="ja-JP" sz="1050" b="0" i="0" u="none" strike="noStrike">
              <a:solidFill>
                <a:schemeClr val="dk1"/>
              </a:solidFill>
              <a:latin typeface="ＭＳ 明朝" pitchFamily="17" charset="-128"/>
              <a:ea typeface="ＭＳ 明朝" pitchFamily="17" charset="-128"/>
              <a:cs typeface="+mn-cs"/>
            </a:rPr>
            <a:t>※</a:t>
          </a:r>
          <a:r>
            <a:rPr lang="ja-JP" altLang="en-US" sz="1050" b="0" i="0" u="none" strike="noStrike">
              <a:solidFill>
                <a:schemeClr val="dk1"/>
              </a:solidFill>
              <a:latin typeface="ＭＳ 明朝" pitchFamily="17" charset="-128"/>
              <a:ea typeface="ＭＳ 明朝" pitchFamily="17" charset="-128"/>
              <a:cs typeface="+mn-cs"/>
            </a:rPr>
            <a:t>年度途中で</a:t>
          </a:r>
          <a:r>
            <a:rPr lang="en-US" altLang="ja-JP" sz="1050" b="0" i="0" u="none" strike="noStrike">
              <a:solidFill>
                <a:schemeClr val="dk1"/>
              </a:solidFill>
              <a:latin typeface="ＭＳ 明朝" pitchFamily="17" charset="-128"/>
              <a:ea typeface="ＭＳ 明朝" pitchFamily="17" charset="-128"/>
              <a:cs typeface="+mn-cs"/>
            </a:rPr>
            <a:t>40</a:t>
          </a:r>
          <a:r>
            <a:rPr lang="ja-JP" altLang="en-US" sz="1050" b="0" i="0" u="none" strike="noStrike">
              <a:solidFill>
                <a:schemeClr val="dk1"/>
              </a:solidFill>
              <a:latin typeface="ＭＳ 明朝" pitchFamily="17" charset="-128"/>
              <a:ea typeface="ＭＳ 明朝" pitchFamily="17" charset="-128"/>
              <a:cs typeface="+mn-cs"/>
            </a:rPr>
            <a:t>歳・</a:t>
          </a:r>
          <a:r>
            <a:rPr lang="en-US" altLang="ja-JP" sz="1050" b="0" i="0" u="none" strike="noStrike">
              <a:solidFill>
                <a:schemeClr val="dk1"/>
              </a:solidFill>
              <a:latin typeface="ＭＳ 明朝" pitchFamily="17" charset="-128"/>
              <a:ea typeface="ＭＳ 明朝" pitchFamily="17" charset="-128"/>
              <a:cs typeface="+mn-cs"/>
            </a:rPr>
            <a:t>65</a:t>
          </a:r>
          <a:r>
            <a:rPr lang="ja-JP" altLang="en-US" sz="1050" b="0" i="0" u="none" strike="noStrike">
              <a:solidFill>
                <a:schemeClr val="dk1"/>
              </a:solidFill>
              <a:latin typeface="ＭＳ 明朝" pitchFamily="17" charset="-128"/>
              <a:ea typeface="ＭＳ 明朝" pitchFamily="17" charset="-128"/>
              <a:cs typeface="+mn-cs"/>
            </a:rPr>
            <a:t>歳を迎える場合、</a:t>
          </a:r>
          <a:br>
            <a:rPr lang="ja-JP" altLang="en-US" sz="1050" b="0" i="0" u="none" strike="noStrike">
              <a:solidFill>
                <a:schemeClr val="dk1"/>
              </a:solidFill>
              <a:latin typeface="ＭＳ 明朝" pitchFamily="17" charset="-128"/>
              <a:ea typeface="ＭＳ 明朝" pitchFamily="17" charset="-128"/>
              <a:cs typeface="+mn-cs"/>
            </a:rPr>
          </a:br>
          <a:r>
            <a:rPr lang="ja-JP" altLang="en-US" sz="1050" b="0" i="0" u="none" strike="noStrike">
              <a:solidFill>
                <a:schemeClr val="dk1"/>
              </a:solidFill>
              <a:latin typeface="ＭＳ 明朝" pitchFamily="17" charset="-128"/>
              <a:ea typeface="ＭＳ 明朝" pitchFamily="17" charset="-128"/>
              <a:cs typeface="+mn-cs"/>
            </a:rPr>
            <a:t>　　　　　　</a:t>
          </a:r>
          <a:r>
            <a:rPr lang="en-US" altLang="ja-JP" sz="1050" b="0" i="0" u="none" strike="noStrike">
              <a:solidFill>
                <a:schemeClr val="dk1"/>
              </a:solidFill>
              <a:latin typeface="ＭＳ 明朝" pitchFamily="17" charset="-128"/>
              <a:ea typeface="ＭＳ 明朝" pitchFamily="17" charset="-128"/>
              <a:cs typeface="+mn-cs"/>
            </a:rPr>
            <a:t>40</a:t>
          </a:r>
          <a:r>
            <a:rPr lang="ja-JP" altLang="en-US" sz="1050" b="0" i="0" u="none" strike="noStrike">
              <a:solidFill>
                <a:schemeClr val="dk1"/>
              </a:solidFill>
              <a:latin typeface="ＭＳ 明朝" pitchFamily="17" charset="-128"/>
              <a:ea typeface="ＭＳ 明朝" pitchFamily="17" charset="-128"/>
              <a:cs typeface="+mn-cs"/>
            </a:rPr>
            <a:t>歳</a:t>
          </a:r>
          <a:r>
            <a:rPr lang="en-US" altLang="ja-JP" sz="1050" b="0" i="0" u="none" strike="noStrike">
              <a:solidFill>
                <a:schemeClr val="dk1"/>
              </a:solidFill>
              <a:latin typeface="ＭＳ 明朝" pitchFamily="17" charset="-128"/>
              <a:ea typeface="ＭＳ 明朝" pitchFamily="17" charset="-128"/>
              <a:cs typeface="+mn-cs"/>
            </a:rPr>
            <a:t>…</a:t>
          </a:r>
          <a:r>
            <a:rPr lang="ja-JP" altLang="en-US" sz="1050" b="0" i="0" u="none" strike="noStrike">
              <a:solidFill>
                <a:schemeClr val="dk1"/>
              </a:solidFill>
              <a:latin typeface="ＭＳ 明朝" pitchFamily="17" charset="-128"/>
              <a:ea typeface="ＭＳ 明朝" pitchFamily="17" charset="-128"/>
              <a:cs typeface="+mn-cs"/>
            </a:rPr>
            <a:t>誕生日を迎える月（</a:t>
          </a:r>
          <a:r>
            <a:rPr lang="en-US" altLang="ja-JP" sz="1050" b="0" i="0" u="none" strike="noStrike">
              <a:solidFill>
                <a:schemeClr val="dk1"/>
              </a:solidFill>
              <a:latin typeface="ＭＳ 明朝" pitchFamily="17" charset="-128"/>
              <a:ea typeface="ＭＳ 明朝" pitchFamily="17" charset="-128"/>
              <a:cs typeface="+mn-cs"/>
            </a:rPr>
            <a:t>1</a:t>
          </a:r>
          <a:r>
            <a:rPr lang="ja-JP" altLang="en-US" sz="1050" b="0" i="0" u="none" strike="noStrike">
              <a:solidFill>
                <a:schemeClr val="dk1"/>
              </a:solidFill>
              <a:latin typeface="ＭＳ 明朝" pitchFamily="17" charset="-128"/>
              <a:ea typeface="ＭＳ 明朝" pitchFamily="17" charset="-128"/>
              <a:cs typeface="+mn-cs"/>
            </a:rPr>
            <a:t>日が誕生日の方はその前月）から●を入力。</a:t>
          </a:r>
          <a:br>
            <a:rPr lang="ja-JP" altLang="en-US" sz="1050" b="0" i="0" u="none" strike="noStrike">
              <a:solidFill>
                <a:schemeClr val="dk1"/>
              </a:solidFill>
              <a:latin typeface="ＭＳ 明朝" pitchFamily="17" charset="-128"/>
              <a:ea typeface="ＭＳ 明朝" pitchFamily="17" charset="-128"/>
              <a:cs typeface="+mn-cs"/>
            </a:rPr>
          </a:br>
          <a:r>
            <a:rPr lang="ja-JP" altLang="en-US" sz="1050" b="0" i="0" u="none" strike="noStrike">
              <a:solidFill>
                <a:schemeClr val="dk1"/>
              </a:solidFill>
              <a:latin typeface="ＭＳ 明朝" pitchFamily="17" charset="-128"/>
              <a:ea typeface="ＭＳ 明朝" pitchFamily="17" charset="-128"/>
              <a:cs typeface="+mn-cs"/>
            </a:rPr>
            <a:t>　　　　　　</a:t>
          </a:r>
          <a:r>
            <a:rPr lang="en-US" altLang="ja-JP" sz="1050" b="0" i="0" u="none" strike="noStrike">
              <a:solidFill>
                <a:schemeClr val="dk1"/>
              </a:solidFill>
              <a:latin typeface="ＭＳ 明朝" pitchFamily="17" charset="-128"/>
              <a:ea typeface="ＭＳ 明朝" pitchFamily="17" charset="-128"/>
              <a:cs typeface="+mn-cs"/>
            </a:rPr>
            <a:t>65</a:t>
          </a:r>
          <a:r>
            <a:rPr lang="ja-JP" altLang="en-US" sz="1050" b="0" i="0" u="none" strike="noStrike">
              <a:solidFill>
                <a:schemeClr val="dk1"/>
              </a:solidFill>
              <a:latin typeface="ＭＳ 明朝" pitchFamily="17" charset="-128"/>
              <a:ea typeface="ＭＳ 明朝" pitchFamily="17" charset="-128"/>
              <a:cs typeface="+mn-cs"/>
            </a:rPr>
            <a:t>歳</a:t>
          </a:r>
          <a:r>
            <a:rPr lang="en-US" altLang="ja-JP" sz="1050" b="0" i="0" u="none" strike="noStrike">
              <a:solidFill>
                <a:schemeClr val="dk1"/>
              </a:solidFill>
              <a:latin typeface="ＭＳ 明朝" pitchFamily="17" charset="-128"/>
              <a:ea typeface="ＭＳ 明朝" pitchFamily="17" charset="-128"/>
              <a:cs typeface="+mn-cs"/>
            </a:rPr>
            <a:t>…</a:t>
          </a:r>
          <a:r>
            <a:rPr lang="ja-JP" altLang="en-US" sz="1050" b="0" i="0" u="none" strike="noStrike">
              <a:solidFill>
                <a:schemeClr val="dk1"/>
              </a:solidFill>
              <a:latin typeface="ＭＳ 明朝" pitchFamily="17" charset="-128"/>
              <a:ea typeface="ＭＳ 明朝" pitchFamily="17" charset="-128"/>
              <a:cs typeface="+mn-cs"/>
            </a:rPr>
            <a:t>誕生日を迎える前月（</a:t>
          </a:r>
          <a:r>
            <a:rPr lang="en-US" altLang="ja-JP" sz="1050" b="0" i="0" u="none" strike="noStrike">
              <a:solidFill>
                <a:schemeClr val="dk1"/>
              </a:solidFill>
              <a:latin typeface="ＭＳ 明朝" pitchFamily="17" charset="-128"/>
              <a:ea typeface="ＭＳ 明朝" pitchFamily="17" charset="-128"/>
              <a:cs typeface="+mn-cs"/>
            </a:rPr>
            <a:t>1</a:t>
          </a:r>
          <a:r>
            <a:rPr lang="ja-JP" altLang="en-US" sz="1050" b="0" i="0" u="none" strike="noStrike">
              <a:solidFill>
                <a:schemeClr val="dk1"/>
              </a:solidFill>
              <a:latin typeface="ＭＳ 明朝" pitchFamily="17" charset="-128"/>
              <a:ea typeface="ＭＳ 明朝" pitchFamily="17" charset="-128"/>
              <a:cs typeface="+mn-cs"/>
            </a:rPr>
            <a:t>日が誕生日の方は前々月）から○を入力。</a:t>
          </a: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endParaRPr lang="en-US" altLang="ja-JP" sz="1050" b="0" i="0" u="none" strike="noStrike">
            <a:solidFill>
              <a:schemeClr val="dk1"/>
            </a:solidFill>
            <a:latin typeface="ＭＳ 明朝" pitchFamily="17" charset="-128"/>
            <a:ea typeface="ＭＳ 明朝" pitchFamily="17" charset="-128"/>
            <a:cs typeface="+mn-cs"/>
          </a:endParaRPr>
        </a:p>
        <a:p>
          <a:pPr>
            <a:lnSpc>
              <a:spcPts val="1500"/>
            </a:lnSpc>
          </a:pPr>
          <a:endParaRPr lang="en-US" altLang="ja-JP" sz="1050" b="0" i="0" u="none" strike="noStrike">
            <a:solidFill>
              <a:schemeClr val="dk1"/>
            </a:solidFill>
            <a:latin typeface="ＭＳ 明朝" pitchFamily="17" charset="-128"/>
            <a:ea typeface="ＭＳ 明朝" pitchFamily="17" charset="-128"/>
            <a:cs typeface="+mn-cs"/>
          </a:endParaRPr>
        </a:p>
        <a:p>
          <a:r>
            <a:rPr lang="en-US" altLang="ja-JP" sz="1050" b="1" i="0">
              <a:solidFill>
                <a:schemeClr val="dk1"/>
              </a:solidFill>
              <a:latin typeface="ＭＳ ゴシック" pitchFamily="49" charset="-128"/>
              <a:ea typeface="ＭＳ ゴシック" pitchFamily="49" charset="-128"/>
              <a:cs typeface="+mn-cs"/>
            </a:rPr>
            <a:t>※</a:t>
          </a:r>
          <a:r>
            <a:rPr lang="ja-JP" altLang="ja-JP" sz="1050" b="1" i="0">
              <a:solidFill>
                <a:schemeClr val="dk1"/>
              </a:solidFill>
              <a:latin typeface="ＭＳ ゴシック" pitchFamily="49" charset="-128"/>
              <a:ea typeface="ＭＳ ゴシック" pitchFamily="49" charset="-128"/>
              <a:cs typeface="+mn-cs"/>
            </a:rPr>
            <a:t>　軽減判定とは、年度当初の加入者と世帯主の所得をあわせた世帯の所得が、一定所得よりも少なければ、均等割・平等割の計算を軽減するものです。</a:t>
          </a:r>
          <a:endParaRPr lang="en-US" altLang="ja-JP" sz="1050" b="1" i="0">
            <a:solidFill>
              <a:schemeClr val="dk1"/>
            </a:solidFill>
            <a:latin typeface="ＭＳ ゴシック" pitchFamily="49" charset="-128"/>
            <a:ea typeface="ＭＳ ゴシック" pitchFamily="49" charset="-128"/>
            <a:cs typeface="+mn-cs"/>
          </a:endParaRPr>
        </a:p>
        <a:p>
          <a:r>
            <a:rPr lang="ja-JP" altLang="ja-JP" sz="1050" b="1" i="0">
              <a:solidFill>
                <a:schemeClr val="dk1"/>
              </a:solidFill>
              <a:latin typeface="ＭＳ ゴシック" pitchFamily="49" charset="-128"/>
              <a:ea typeface="ＭＳ ゴシック" pitchFamily="49" charset="-128"/>
              <a:cs typeface="+mn-cs"/>
            </a:rPr>
            <a:t>　　判定には①軽減判定対象と②軽減判定所得が正しく入力されている必要があります。</a:t>
          </a:r>
          <a:endParaRPr lang="en-US" altLang="ja-JP" sz="1050" b="1" i="0">
            <a:solidFill>
              <a:schemeClr val="dk1"/>
            </a:solidFill>
            <a:latin typeface="ＭＳ ゴシック" pitchFamily="49" charset="-128"/>
            <a:ea typeface="ＭＳ ゴシック" pitchFamily="49" charset="-128"/>
            <a:cs typeface="+mn-cs"/>
          </a:endParaRPr>
        </a:p>
        <a:p>
          <a:pPr>
            <a:lnSpc>
              <a:spcPts val="1500"/>
            </a:lnSpc>
          </a:pPr>
          <a:r>
            <a:rPr lang="ja-JP" altLang="en-US" sz="1050" b="0" u="none">
              <a:latin typeface="ＭＳ ゴシック" pitchFamily="49" charset="-128"/>
              <a:ea typeface="ＭＳ ゴシック" pitchFamily="49" charset="-128"/>
            </a:rPr>
            <a:t> </a:t>
          </a:r>
          <a:endParaRPr kumimoji="1" lang="ja-JP" altLang="en-US" sz="1050" b="0" u="none">
            <a:latin typeface="ＭＳ ゴシック" pitchFamily="49" charset="-128"/>
            <a:ea typeface="ＭＳ ゴシック" pitchFamily="49" charset="-128"/>
          </a:endParaRPr>
        </a:p>
      </xdr:txBody>
    </xdr:sp>
    <xdr:clientData/>
  </xdr:oneCellAnchor>
  <xdr:twoCellAnchor>
    <xdr:from>
      <xdr:col>0</xdr:col>
      <xdr:colOff>666751</xdr:colOff>
      <xdr:row>5</xdr:row>
      <xdr:rowOff>190500</xdr:rowOff>
    </xdr:from>
    <xdr:to>
      <xdr:col>16</xdr:col>
      <xdr:colOff>1</xdr:colOff>
      <xdr:row>123</xdr:row>
      <xdr:rowOff>57149</xdr:rowOff>
    </xdr:to>
    <xdr:sp macro="" textlink="">
      <xdr:nvSpPr>
        <xdr:cNvPr id="4" name="角丸四角形 3"/>
        <xdr:cNvSpPr/>
      </xdr:nvSpPr>
      <xdr:spPr>
        <a:xfrm>
          <a:off x="666751" y="3352800"/>
          <a:ext cx="10629900" cy="2247899"/>
        </a:xfrm>
        <a:prstGeom prst="roundRect">
          <a:avLst>
            <a:gd name="adj" fmla="val 4559"/>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8">
    <tabColor rgb="FFFFFF00"/>
    <pageSetUpPr fitToPage="1"/>
  </sheetPr>
  <dimension ref="A1:BH128"/>
  <sheetViews>
    <sheetView tabSelected="1" topLeftCell="A4" zoomScaleNormal="100" workbookViewId="0">
      <selection activeCell="H9" sqref="H9"/>
    </sheetView>
  </sheetViews>
  <sheetFormatPr defaultColWidth="9.25" defaultRowHeight="22.5" customHeight="1"/>
  <cols>
    <col min="1" max="1" width="9.25" style="108" customWidth="1"/>
    <col min="2" max="2" width="9" style="108" customWidth="1"/>
    <col min="3" max="4" width="12.5" style="108" customWidth="1"/>
    <col min="5" max="16" width="8.75" style="108" customWidth="1"/>
    <col min="17" max="18" width="9.25" style="109"/>
    <col min="19" max="20" width="0" style="109" hidden="1" customWidth="1"/>
    <col min="21" max="52" width="9.25" style="108" hidden="1" customWidth="1"/>
    <col min="53" max="60" width="9.25" style="108" customWidth="1"/>
    <col min="61" max="16384" width="9.25" style="108"/>
  </cols>
  <sheetData>
    <row r="1" spans="1:47" ht="22.5" hidden="1" customHeight="1" thickBot="1">
      <c r="A1" s="105" t="s">
        <v>75</v>
      </c>
      <c r="B1" s="171"/>
      <c r="C1" s="171"/>
      <c r="D1" s="106" t="s">
        <v>173</v>
      </c>
      <c r="E1" s="107" t="s">
        <v>76</v>
      </c>
      <c r="W1" s="179" t="s">
        <v>177</v>
      </c>
    </row>
    <row r="2" spans="1:47" ht="22.5" hidden="1" customHeight="1" thickBot="1">
      <c r="D2" s="107"/>
      <c r="E2" s="107"/>
      <c r="U2" s="109" t="str">
        <f>IF(J5="","",J5)</f>
        <v/>
      </c>
      <c r="W2" s="179" t="s">
        <v>176</v>
      </c>
    </row>
    <row r="3" spans="1:47" ht="22.5" hidden="1" customHeight="1" thickBot="1">
      <c r="A3" s="105" t="s">
        <v>77</v>
      </c>
      <c r="B3" s="171"/>
      <c r="C3" s="171"/>
      <c r="D3" s="165" t="e">
        <f>VLOOKUP($A$115,J114:K117,2,FALSE)</f>
        <v>#N/A</v>
      </c>
      <c r="E3" s="107" t="s">
        <v>78</v>
      </c>
      <c r="U3" s="109" t="str">
        <f>L5</f>
        <v>○</v>
      </c>
      <c r="W3" s="179" t="s">
        <v>198</v>
      </c>
    </row>
    <row r="4" spans="1:47" ht="249" customHeight="1">
      <c r="A4" s="210"/>
      <c r="B4" s="211"/>
      <c r="C4" s="211"/>
      <c r="D4" s="211"/>
      <c r="E4" s="211"/>
      <c r="F4" s="211"/>
      <c r="G4" s="211"/>
      <c r="H4" s="211"/>
      <c r="I4" s="211"/>
      <c r="J4" s="211"/>
      <c r="K4" s="211"/>
      <c r="L4" s="211"/>
      <c r="M4" s="211"/>
      <c r="N4" s="211"/>
      <c r="O4" s="211"/>
      <c r="P4" s="211"/>
      <c r="U4" s="109" t="str">
        <f>N5</f>
        <v>●介護</v>
      </c>
    </row>
    <row r="5" spans="1:47" ht="22.5" hidden="1" customHeight="1">
      <c r="D5" s="110" t="s">
        <v>79</v>
      </c>
      <c r="I5" s="111" t="s">
        <v>80</v>
      </c>
      <c r="J5" s="112"/>
      <c r="K5" s="111" t="s">
        <v>81</v>
      </c>
      <c r="L5" s="181" t="s">
        <v>176</v>
      </c>
      <c r="M5" s="111" t="s">
        <v>82</v>
      </c>
      <c r="N5" s="181" t="s">
        <v>181</v>
      </c>
      <c r="P5" s="113" t="s">
        <v>83</v>
      </c>
      <c r="Q5" s="114"/>
      <c r="R5" s="114"/>
      <c r="S5" s="114"/>
      <c r="T5" s="114"/>
      <c r="U5" s="109"/>
      <c r="W5" s="108" t="s">
        <v>84</v>
      </c>
      <c r="AJ5" s="108" t="s">
        <v>85</v>
      </c>
    </row>
    <row r="6" spans="1:47" ht="18.75" customHeight="1">
      <c r="A6" s="105" t="s">
        <v>86</v>
      </c>
      <c r="B6" s="178" t="s">
        <v>175</v>
      </c>
      <c r="C6" s="178" t="s">
        <v>200</v>
      </c>
      <c r="D6" s="202" t="s">
        <v>196</v>
      </c>
      <c r="E6" s="200">
        <v>4</v>
      </c>
      <c r="F6" s="200">
        <v>5</v>
      </c>
      <c r="G6" s="200">
        <v>6</v>
      </c>
      <c r="H6" s="200">
        <v>7</v>
      </c>
      <c r="I6" s="200">
        <v>8</v>
      </c>
      <c r="J6" s="200">
        <v>9</v>
      </c>
      <c r="K6" s="200">
        <v>10</v>
      </c>
      <c r="L6" s="200">
        <v>11</v>
      </c>
      <c r="M6" s="200">
        <v>12</v>
      </c>
      <c r="N6" s="200">
        <v>1</v>
      </c>
      <c r="O6" s="200">
        <v>2</v>
      </c>
      <c r="P6" s="200">
        <v>3</v>
      </c>
      <c r="Q6" s="117"/>
      <c r="R6" s="117"/>
      <c r="S6" s="117"/>
      <c r="T6" s="201" t="s">
        <v>197</v>
      </c>
      <c r="U6" s="109" t="s">
        <v>87</v>
      </c>
      <c r="V6" s="108" t="s">
        <v>88</v>
      </c>
      <c r="W6" s="108">
        <v>4</v>
      </c>
      <c r="X6" s="108">
        <v>5</v>
      </c>
      <c r="Y6" s="108">
        <v>6</v>
      </c>
      <c r="Z6" s="108">
        <v>7</v>
      </c>
      <c r="AA6" s="108">
        <v>8</v>
      </c>
      <c r="AB6" s="108">
        <v>9</v>
      </c>
      <c r="AC6" s="108">
        <v>10</v>
      </c>
      <c r="AD6" s="108">
        <v>11</v>
      </c>
      <c r="AE6" s="108">
        <v>12</v>
      </c>
      <c r="AF6" s="108">
        <v>1</v>
      </c>
      <c r="AG6" s="108">
        <v>2</v>
      </c>
      <c r="AH6" s="108">
        <v>3</v>
      </c>
      <c r="AJ6" s="108">
        <v>4</v>
      </c>
      <c r="AK6" s="108">
        <v>5</v>
      </c>
      <c r="AL6" s="108">
        <v>6</v>
      </c>
      <c r="AM6" s="108">
        <v>7</v>
      </c>
      <c r="AN6" s="108">
        <v>8</v>
      </c>
      <c r="AO6" s="108">
        <v>9</v>
      </c>
      <c r="AP6" s="108">
        <v>10</v>
      </c>
      <c r="AQ6" s="108">
        <v>11</v>
      </c>
      <c r="AR6" s="108">
        <v>12</v>
      </c>
      <c r="AS6" s="108">
        <v>1</v>
      </c>
      <c r="AT6" s="108">
        <v>2</v>
      </c>
      <c r="AU6" s="108">
        <v>3</v>
      </c>
    </row>
    <row r="7" spans="1:47" ht="18.75" customHeight="1">
      <c r="A7" s="180" t="s">
        <v>178</v>
      </c>
      <c r="B7" s="248"/>
      <c r="C7" s="247"/>
      <c r="D7" s="247"/>
      <c r="E7" s="246"/>
      <c r="F7" s="246"/>
      <c r="G7" s="246"/>
      <c r="H7" s="246"/>
      <c r="I7" s="246"/>
      <c r="J7" s="246"/>
      <c r="K7" s="246"/>
      <c r="L7" s="246"/>
      <c r="M7" s="246"/>
      <c r="N7" s="246"/>
      <c r="O7" s="246"/>
      <c r="P7" s="246"/>
      <c r="Q7" s="118"/>
      <c r="R7" s="118"/>
      <c r="S7" s="118"/>
      <c r="T7" s="203">
        <f>IF(D7&lt;=330000,0,D7-330000)</f>
        <v>0</v>
      </c>
      <c r="U7" s="109">
        <f>COUNTIF(E7:P7,$L$5)+COUNTIF(E7:P7,$N$5)</f>
        <v>0</v>
      </c>
      <c r="V7" s="108">
        <f>COUNTIF(E7:P7,$N$5)</f>
        <v>0</v>
      </c>
      <c r="W7" s="108">
        <f>IF(E7=$U$2,0,IF($T7&lt;0,0,$T7))</f>
        <v>0</v>
      </c>
      <c r="X7" s="108">
        <f t="shared" ref="X7:AH15" si="0">IF(F7=$U$2,0,IF($T7&lt;0,0,$T7))</f>
        <v>0</v>
      </c>
      <c r="Y7" s="108">
        <f t="shared" si="0"/>
        <v>0</v>
      </c>
      <c r="Z7" s="108">
        <f t="shared" si="0"/>
        <v>0</v>
      </c>
      <c r="AA7" s="108">
        <f t="shared" si="0"/>
        <v>0</v>
      </c>
      <c r="AB7" s="108">
        <f t="shared" si="0"/>
        <v>0</v>
      </c>
      <c r="AC7" s="108">
        <f t="shared" si="0"/>
        <v>0</v>
      </c>
      <c r="AD7" s="108">
        <f t="shared" si="0"/>
        <v>0</v>
      </c>
      <c r="AE7" s="108">
        <f t="shared" si="0"/>
        <v>0</v>
      </c>
      <c r="AF7" s="108">
        <f t="shared" si="0"/>
        <v>0</v>
      </c>
      <c r="AG7" s="108">
        <f t="shared" si="0"/>
        <v>0</v>
      </c>
      <c r="AH7" s="108">
        <f t="shared" si="0"/>
        <v>0</v>
      </c>
      <c r="AJ7" s="108">
        <f>IF(E7=$N$5,W7,0)</f>
        <v>0</v>
      </c>
      <c r="AK7" s="108">
        <f t="shared" ref="AK7:AU15" si="1">IF(F7=$N$5,X7,0)</f>
        <v>0</v>
      </c>
      <c r="AL7" s="108">
        <f t="shared" si="1"/>
        <v>0</v>
      </c>
      <c r="AM7" s="108">
        <f t="shared" si="1"/>
        <v>0</v>
      </c>
      <c r="AN7" s="108">
        <f t="shared" si="1"/>
        <v>0</v>
      </c>
      <c r="AO7" s="108">
        <f t="shared" si="1"/>
        <v>0</v>
      </c>
      <c r="AP7" s="108">
        <f t="shared" si="1"/>
        <v>0</v>
      </c>
      <c r="AQ7" s="108">
        <f t="shared" si="1"/>
        <v>0</v>
      </c>
      <c r="AR7" s="108">
        <f t="shared" si="1"/>
        <v>0</v>
      </c>
      <c r="AS7" s="108">
        <f t="shared" si="1"/>
        <v>0</v>
      </c>
      <c r="AT7" s="108">
        <f t="shared" si="1"/>
        <v>0</v>
      </c>
      <c r="AU7" s="108">
        <f t="shared" si="1"/>
        <v>0</v>
      </c>
    </row>
    <row r="8" spans="1:47" ht="18.75" customHeight="1">
      <c r="A8" s="105" t="s">
        <v>89</v>
      </c>
      <c r="B8" s="248"/>
      <c r="C8" s="247"/>
      <c r="D8" s="247"/>
      <c r="E8" s="246"/>
      <c r="F8" s="246"/>
      <c r="G8" s="246"/>
      <c r="H8" s="246"/>
      <c r="I8" s="246"/>
      <c r="J8" s="246"/>
      <c r="K8" s="246"/>
      <c r="L8" s="246"/>
      <c r="M8" s="246"/>
      <c r="N8" s="246"/>
      <c r="O8" s="246"/>
      <c r="P8" s="246"/>
      <c r="Q8" s="118"/>
      <c r="R8" s="118"/>
      <c r="S8" s="118"/>
      <c r="T8" s="203">
        <f t="shared" ref="T8:T14" si="2">IF(D8&lt;=330000,0,D8-330000)</f>
        <v>0</v>
      </c>
      <c r="U8" s="109">
        <f t="shared" ref="U8:U14" si="3">COUNTIF(E8:P8,$L$5)+COUNTIF(E8:P8,$N$5)</f>
        <v>0</v>
      </c>
      <c r="V8" s="108">
        <f t="shared" ref="V8:V14" si="4">COUNTIF(E8:P8,$N$5)</f>
        <v>0</v>
      </c>
      <c r="W8" s="108">
        <f t="shared" ref="W8:W14" si="5">IF(E8=$U$2,0,IF($T8&lt;0,0,$T8))</f>
        <v>0</v>
      </c>
      <c r="X8" s="108">
        <f t="shared" si="0"/>
        <v>0</v>
      </c>
      <c r="Y8" s="108">
        <f t="shared" si="0"/>
        <v>0</v>
      </c>
      <c r="Z8" s="108">
        <f t="shared" si="0"/>
        <v>0</v>
      </c>
      <c r="AA8" s="108">
        <f t="shared" si="0"/>
        <v>0</v>
      </c>
      <c r="AB8" s="108">
        <f t="shared" si="0"/>
        <v>0</v>
      </c>
      <c r="AC8" s="108">
        <f t="shared" si="0"/>
        <v>0</v>
      </c>
      <c r="AD8" s="108">
        <f t="shared" si="0"/>
        <v>0</v>
      </c>
      <c r="AE8" s="108">
        <f t="shared" si="0"/>
        <v>0</v>
      </c>
      <c r="AF8" s="108">
        <f t="shared" si="0"/>
        <v>0</v>
      </c>
      <c r="AG8" s="108">
        <f t="shared" si="0"/>
        <v>0</v>
      </c>
      <c r="AH8" s="108">
        <f t="shared" si="0"/>
        <v>0</v>
      </c>
      <c r="AJ8" s="108">
        <f t="shared" ref="AJ8:AJ14" si="6">IF(E8=$N$5,W8,0)</f>
        <v>0</v>
      </c>
      <c r="AK8" s="108">
        <f t="shared" si="1"/>
        <v>0</v>
      </c>
      <c r="AL8" s="108">
        <f t="shared" si="1"/>
        <v>0</v>
      </c>
      <c r="AM8" s="108">
        <f t="shared" si="1"/>
        <v>0</v>
      </c>
      <c r="AN8" s="108">
        <f t="shared" si="1"/>
        <v>0</v>
      </c>
      <c r="AO8" s="108">
        <f t="shared" si="1"/>
        <v>0</v>
      </c>
      <c r="AP8" s="108">
        <f t="shared" si="1"/>
        <v>0</v>
      </c>
      <c r="AQ8" s="108">
        <f t="shared" si="1"/>
        <v>0</v>
      </c>
      <c r="AR8" s="108">
        <f t="shared" si="1"/>
        <v>0</v>
      </c>
      <c r="AS8" s="108">
        <f t="shared" si="1"/>
        <v>0</v>
      </c>
      <c r="AT8" s="108">
        <f t="shared" si="1"/>
        <v>0</v>
      </c>
      <c r="AU8" s="108">
        <f t="shared" si="1"/>
        <v>0</v>
      </c>
    </row>
    <row r="9" spans="1:47" ht="18.75" customHeight="1">
      <c r="A9" s="105" t="s">
        <v>90</v>
      </c>
      <c r="B9" s="248"/>
      <c r="C9" s="247"/>
      <c r="D9" s="247"/>
      <c r="E9" s="246"/>
      <c r="F9" s="246"/>
      <c r="G9" s="246"/>
      <c r="H9" s="246"/>
      <c r="I9" s="246"/>
      <c r="J9" s="246"/>
      <c r="K9" s="246"/>
      <c r="L9" s="246"/>
      <c r="M9" s="246"/>
      <c r="N9" s="246"/>
      <c r="O9" s="246"/>
      <c r="P9" s="246"/>
      <c r="Q9" s="118"/>
      <c r="R9" s="118"/>
      <c r="S9" s="118"/>
      <c r="T9" s="203">
        <f t="shared" si="2"/>
        <v>0</v>
      </c>
      <c r="U9" s="109">
        <f t="shared" si="3"/>
        <v>0</v>
      </c>
      <c r="V9" s="108">
        <f t="shared" si="4"/>
        <v>0</v>
      </c>
      <c r="W9" s="108">
        <f t="shared" si="5"/>
        <v>0</v>
      </c>
      <c r="X9" s="108">
        <f t="shared" si="0"/>
        <v>0</v>
      </c>
      <c r="Y9" s="108">
        <f t="shared" si="0"/>
        <v>0</v>
      </c>
      <c r="Z9" s="108">
        <f t="shared" si="0"/>
        <v>0</v>
      </c>
      <c r="AA9" s="108">
        <f t="shared" si="0"/>
        <v>0</v>
      </c>
      <c r="AB9" s="108">
        <f t="shared" si="0"/>
        <v>0</v>
      </c>
      <c r="AC9" s="108">
        <f t="shared" si="0"/>
        <v>0</v>
      </c>
      <c r="AD9" s="108">
        <f t="shared" si="0"/>
        <v>0</v>
      </c>
      <c r="AE9" s="108">
        <f t="shared" si="0"/>
        <v>0</v>
      </c>
      <c r="AF9" s="108">
        <f t="shared" si="0"/>
        <v>0</v>
      </c>
      <c r="AG9" s="108">
        <f t="shared" si="0"/>
        <v>0</v>
      </c>
      <c r="AH9" s="108">
        <f t="shared" si="0"/>
        <v>0</v>
      </c>
      <c r="AJ9" s="108">
        <f t="shared" si="6"/>
        <v>0</v>
      </c>
      <c r="AK9" s="108">
        <f t="shared" si="1"/>
        <v>0</v>
      </c>
      <c r="AL9" s="108">
        <f t="shared" si="1"/>
        <v>0</v>
      </c>
      <c r="AM9" s="108">
        <f t="shared" si="1"/>
        <v>0</v>
      </c>
      <c r="AN9" s="108">
        <f t="shared" si="1"/>
        <v>0</v>
      </c>
      <c r="AO9" s="108">
        <f t="shared" si="1"/>
        <v>0</v>
      </c>
      <c r="AP9" s="108">
        <f t="shared" si="1"/>
        <v>0</v>
      </c>
      <c r="AQ9" s="108">
        <f t="shared" si="1"/>
        <v>0</v>
      </c>
      <c r="AR9" s="108">
        <f t="shared" si="1"/>
        <v>0</v>
      </c>
      <c r="AS9" s="108">
        <f t="shared" si="1"/>
        <v>0</v>
      </c>
      <c r="AT9" s="108">
        <f t="shared" si="1"/>
        <v>0</v>
      </c>
      <c r="AU9" s="108">
        <f t="shared" si="1"/>
        <v>0</v>
      </c>
    </row>
    <row r="10" spans="1:47" ht="18.75" customHeight="1">
      <c r="A10" s="105" t="s">
        <v>91</v>
      </c>
      <c r="B10" s="248"/>
      <c r="C10" s="247"/>
      <c r="D10" s="247"/>
      <c r="E10" s="246"/>
      <c r="F10" s="246"/>
      <c r="G10" s="246"/>
      <c r="H10" s="246"/>
      <c r="I10" s="246"/>
      <c r="J10" s="246"/>
      <c r="K10" s="246"/>
      <c r="L10" s="246"/>
      <c r="M10" s="246"/>
      <c r="N10" s="246"/>
      <c r="O10" s="246"/>
      <c r="P10" s="246"/>
      <c r="Q10" s="118"/>
      <c r="R10" s="118"/>
      <c r="S10" s="118"/>
      <c r="T10" s="203">
        <f t="shared" si="2"/>
        <v>0</v>
      </c>
      <c r="U10" s="109">
        <f t="shared" si="3"/>
        <v>0</v>
      </c>
      <c r="V10" s="108">
        <f t="shared" si="4"/>
        <v>0</v>
      </c>
      <c r="W10" s="108">
        <f t="shared" si="5"/>
        <v>0</v>
      </c>
      <c r="X10" s="108">
        <f t="shared" si="0"/>
        <v>0</v>
      </c>
      <c r="Y10" s="108">
        <f t="shared" si="0"/>
        <v>0</v>
      </c>
      <c r="Z10" s="108">
        <f t="shared" si="0"/>
        <v>0</v>
      </c>
      <c r="AA10" s="108">
        <f t="shared" si="0"/>
        <v>0</v>
      </c>
      <c r="AB10" s="108">
        <f t="shared" si="0"/>
        <v>0</v>
      </c>
      <c r="AC10" s="108">
        <f t="shared" si="0"/>
        <v>0</v>
      </c>
      <c r="AD10" s="108">
        <f t="shared" si="0"/>
        <v>0</v>
      </c>
      <c r="AE10" s="108">
        <f t="shared" si="0"/>
        <v>0</v>
      </c>
      <c r="AF10" s="108">
        <f t="shared" si="0"/>
        <v>0</v>
      </c>
      <c r="AG10" s="108">
        <f t="shared" si="0"/>
        <v>0</v>
      </c>
      <c r="AH10" s="108">
        <f t="shared" si="0"/>
        <v>0</v>
      </c>
      <c r="AJ10" s="108">
        <f t="shared" si="6"/>
        <v>0</v>
      </c>
      <c r="AK10" s="108">
        <f t="shared" si="1"/>
        <v>0</v>
      </c>
      <c r="AL10" s="108">
        <f t="shared" si="1"/>
        <v>0</v>
      </c>
      <c r="AM10" s="108">
        <f t="shared" si="1"/>
        <v>0</v>
      </c>
      <c r="AN10" s="108">
        <f t="shared" si="1"/>
        <v>0</v>
      </c>
      <c r="AO10" s="108">
        <f t="shared" si="1"/>
        <v>0</v>
      </c>
      <c r="AP10" s="108">
        <f t="shared" si="1"/>
        <v>0</v>
      </c>
      <c r="AQ10" s="108">
        <f t="shared" si="1"/>
        <v>0</v>
      </c>
      <c r="AR10" s="108">
        <f t="shared" si="1"/>
        <v>0</v>
      </c>
      <c r="AS10" s="108">
        <f t="shared" si="1"/>
        <v>0</v>
      </c>
      <c r="AT10" s="108">
        <f t="shared" si="1"/>
        <v>0</v>
      </c>
      <c r="AU10" s="108">
        <f t="shared" si="1"/>
        <v>0</v>
      </c>
    </row>
    <row r="11" spans="1:47" ht="18.75" customHeight="1">
      <c r="A11" s="105" t="s">
        <v>92</v>
      </c>
      <c r="B11" s="248"/>
      <c r="C11" s="247"/>
      <c r="D11" s="247"/>
      <c r="E11" s="246"/>
      <c r="F11" s="246"/>
      <c r="G11" s="246"/>
      <c r="H11" s="246"/>
      <c r="I11" s="246"/>
      <c r="J11" s="246"/>
      <c r="K11" s="246"/>
      <c r="L11" s="246"/>
      <c r="M11" s="246"/>
      <c r="N11" s="246"/>
      <c r="O11" s="246"/>
      <c r="P11" s="246"/>
      <c r="Q11" s="118"/>
      <c r="R11" s="118"/>
      <c r="S11" s="118"/>
      <c r="T11" s="203">
        <f t="shared" si="2"/>
        <v>0</v>
      </c>
      <c r="U11" s="109">
        <f t="shared" si="3"/>
        <v>0</v>
      </c>
      <c r="V11" s="108">
        <f t="shared" si="4"/>
        <v>0</v>
      </c>
      <c r="W11" s="108">
        <f t="shared" si="5"/>
        <v>0</v>
      </c>
      <c r="X11" s="108">
        <f t="shared" si="0"/>
        <v>0</v>
      </c>
      <c r="Y11" s="108">
        <f t="shared" si="0"/>
        <v>0</v>
      </c>
      <c r="Z11" s="108">
        <f t="shared" si="0"/>
        <v>0</v>
      </c>
      <c r="AA11" s="108">
        <f t="shared" si="0"/>
        <v>0</v>
      </c>
      <c r="AB11" s="108">
        <f t="shared" si="0"/>
        <v>0</v>
      </c>
      <c r="AC11" s="108">
        <f t="shared" si="0"/>
        <v>0</v>
      </c>
      <c r="AD11" s="108">
        <f t="shared" si="0"/>
        <v>0</v>
      </c>
      <c r="AE11" s="108">
        <f t="shared" si="0"/>
        <v>0</v>
      </c>
      <c r="AF11" s="108">
        <f t="shared" si="0"/>
        <v>0</v>
      </c>
      <c r="AG11" s="108">
        <f t="shared" si="0"/>
        <v>0</v>
      </c>
      <c r="AH11" s="108">
        <f t="shared" si="0"/>
        <v>0</v>
      </c>
      <c r="AJ11" s="108">
        <f t="shared" si="6"/>
        <v>0</v>
      </c>
      <c r="AK11" s="108">
        <f t="shared" si="1"/>
        <v>0</v>
      </c>
      <c r="AL11" s="108">
        <f t="shared" si="1"/>
        <v>0</v>
      </c>
      <c r="AM11" s="108">
        <f t="shared" si="1"/>
        <v>0</v>
      </c>
      <c r="AN11" s="108">
        <f t="shared" si="1"/>
        <v>0</v>
      </c>
      <c r="AO11" s="108">
        <f t="shared" si="1"/>
        <v>0</v>
      </c>
      <c r="AP11" s="108">
        <f t="shared" si="1"/>
        <v>0</v>
      </c>
      <c r="AQ11" s="108">
        <f t="shared" si="1"/>
        <v>0</v>
      </c>
      <c r="AR11" s="108">
        <f t="shared" si="1"/>
        <v>0</v>
      </c>
      <c r="AS11" s="108">
        <f t="shared" si="1"/>
        <v>0</v>
      </c>
      <c r="AT11" s="108">
        <f t="shared" si="1"/>
        <v>0</v>
      </c>
      <c r="AU11" s="108">
        <f t="shared" si="1"/>
        <v>0</v>
      </c>
    </row>
    <row r="12" spans="1:47" ht="18.75" customHeight="1">
      <c r="A12" s="105" t="s">
        <v>93</v>
      </c>
      <c r="B12" s="248"/>
      <c r="C12" s="247"/>
      <c r="D12" s="247"/>
      <c r="E12" s="246"/>
      <c r="F12" s="246"/>
      <c r="G12" s="246"/>
      <c r="H12" s="246"/>
      <c r="I12" s="246"/>
      <c r="J12" s="246"/>
      <c r="K12" s="246"/>
      <c r="L12" s="246"/>
      <c r="M12" s="246"/>
      <c r="N12" s="246"/>
      <c r="O12" s="246"/>
      <c r="P12" s="246"/>
      <c r="Q12" s="118"/>
      <c r="R12" s="118"/>
      <c r="S12" s="118"/>
      <c r="T12" s="203">
        <f t="shared" si="2"/>
        <v>0</v>
      </c>
      <c r="U12" s="109">
        <f t="shared" si="3"/>
        <v>0</v>
      </c>
      <c r="V12" s="108">
        <f t="shared" si="4"/>
        <v>0</v>
      </c>
      <c r="W12" s="108">
        <f t="shared" si="5"/>
        <v>0</v>
      </c>
      <c r="X12" s="108">
        <f t="shared" si="0"/>
        <v>0</v>
      </c>
      <c r="Y12" s="108">
        <f t="shared" si="0"/>
        <v>0</v>
      </c>
      <c r="Z12" s="108">
        <f t="shared" si="0"/>
        <v>0</v>
      </c>
      <c r="AA12" s="108">
        <f t="shared" si="0"/>
        <v>0</v>
      </c>
      <c r="AB12" s="108">
        <f t="shared" si="0"/>
        <v>0</v>
      </c>
      <c r="AC12" s="108">
        <f t="shared" si="0"/>
        <v>0</v>
      </c>
      <c r="AD12" s="108">
        <f t="shared" si="0"/>
        <v>0</v>
      </c>
      <c r="AE12" s="108">
        <f t="shared" si="0"/>
        <v>0</v>
      </c>
      <c r="AF12" s="108">
        <f t="shared" si="0"/>
        <v>0</v>
      </c>
      <c r="AG12" s="108">
        <f t="shared" si="0"/>
        <v>0</v>
      </c>
      <c r="AH12" s="108">
        <f t="shared" si="0"/>
        <v>0</v>
      </c>
      <c r="AJ12" s="108">
        <f t="shared" si="6"/>
        <v>0</v>
      </c>
      <c r="AK12" s="108">
        <f t="shared" si="1"/>
        <v>0</v>
      </c>
      <c r="AL12" s="108">
        <f t="shared" si="1"/>
        <v>0</v>
      </c>
      <c r="AM12" s="108">
        <f t="shared" si="1"/>
        <v>0</v>
      </c>
      <c r="AN12" s="108">
        <f t="shared" si="1"/>
        <v>0</v>
      </c>
      <c r="AO12" s="108">
        <f t="shared" si="1"/>
        <v>0</v>
      </c>
      <c r="AP12" s="108">
        <f t="shared" si="1"/>
        <v>0</v>
      </c>
      <c r="AQ12" s="108">
        <f t="shared" si="1"/>
        <v>0</v>
      </c>
      <c r="AR12" s="108">
        <f t="shared" si="1"/>
        <v>0</v>
      </c>
      <c r="AS12" s="108">
        <f t="shared" si="1"/>
        <v>0</v>
      </c>
      <c r="AT12" s="108">
        <f t="shared" si="1"/>
        <v>0</v>
      </c>
      <c r="AU12" s="108">
        <f t="shared" si="1"/>
        <v>0</v>
      </c>
    </row>
    <row r="13" spans="1:47" ht="18.75" customHeight="1">
      <c r="A13" s="105" t="s">
        <v>94</v>
      </c>
      <c r="B13" s="248"/>
      <c r="C13" s="247"/>
      <c r="D13" s="247"/>
      <c r="E13" s="246"/>
      <c r="F13" s="246"/>
      <c r="G13" s="246"/>
      <c r="H13" s="246"/>
      <c r="I13" s="246"/>
      <c r="J13" s="246"/>
      <c r="K13" s="246"/>
      <c r="L13" s="246"/>
      <c r="M13" s="246"/>
      <c r="N13" s="246"/>
      <c r="O13" s="246"/>
      <c r="P13" s="246"/>
      <c r="Q13" s="118"/>
      <c r="R13" s="118"/>
      <c r="S13" s="118"/>
      <c r="T13" s="203">
        <f t="shared" si="2"/>
        <v>0</v>
      </c>
      <c r="U13" s="109">
        <f t="shared" si="3"/>
        <v>0</v>
      </c>
      <c r="V13" s="108">
        <f t="shared" si="4"/>
        <v>0</v>
      </c>
      <c r="W13" s="108">
        <f t="shared" si="5"/>
        <v>0</v>
      </c>
      <c r="X13" s="108">
        <f t="shared" si="0"/>
        <v>0</v>
      </c>
      <c r="Y13" s="108">
        <f t="shared" si="0"/>
        <v>0</v>
      </c>
      <c r="Z13" s="108">
        <f t="shared" si="0"/>
        <v>0</v>
      </c>
      <c r="AA13" s="108">
        <f t="shared" si="0"/>
        <v>0</v>
      </c>
      <c r="AB13" s="108">
        <f t="shared" si="0"/>
        <v>0</v>
      </c>
      <c r="AC13" s="108">
        <f t="shared" si="0"/>
        <v>0</v>
      </c>
      <c r="AD13" s="108">
        <f t="shared" si="0"/>
        <v>0</v>
      </c>
      <c r="AE13" s="108">
        <f t="shared" si="0"/>
        <v>0</v>
      </c>
      <c r="AF13" s="108">
        <f t="shared" si="0"/>
        <v>0</v>
      </c>
      <c r="AG13" s="108">
        <f t="shared" si="0"/>
        <v>0</v>
      </c>
      <c r="AH13" s="108">
        <f t="shared" si="0"/>
        <v>0</v>
      </c>
      <c r="AJ13" s="108">
        <f t="shared" si="6"/>
        <v>0</v>
      </c>
      <c r="AK13" s="108">
        <f t="shared" si="1"/>
        <v>0</v>
      </c>
      <c r="AL13" s="108">
        <f t="shared" si="1"/>
        <v>0</v>
      </c>
      <c r="AM13" s="108">
        <f t="shared" si="1"/>
        <v>0</v>
      </c>
      <c r="AN13" s="108">
        <f t="shared" si="1"/>
        <v>0</v>
      </c>
      <c r="AO13" s="108">
        <f t="shared" si="1"/>
        <v>0</v>
      </c>
      <c r="AP13" s="108">
        <f t="shared" si="1"/>
        <v>0</v>
      </c>
      <c r="AQ13" s="108">
        <f t="shared" si="1"/>
        <v>0</v>
      </c>
      <c r="AR13" s="108">
        <f t="shared" si="1"/>
        <v>0</v>
      </c>
      <c r="AS13" s="108">
        <f t="shared" si="1"/>
        <v>0</v>
      </c>
      <c r="AT13" s="108">
        <f t="shared" si="1"/>
        <v>0</v>
      </c>
      <c r="AU13" s="108">
        <f t="shared" si="1"/>
        <v>0</v>
      </c>
    </row>
    <row r="14" spans="1:47" ht="18.75" customHeight="1">
      <c r="A14" s="105" t="s">
        <v>95</v>
      </c>
      <c r="B14" s="248"/>
      <c r="C14" s="247"/>
      <c r="D14" s="247"/>
      <c r="E14" s="246"/>
      <c r="F14" s="246"/>
      <c r="G14" s="246"/>
      <c r="H14" s="246"/>
      <c r="I14" s="246"/>
      <c r="J14" s="246"/>
      <c r="K14" s="246"/>
      <c r="L14" s="246"/>
      <c r="M14" s="246"/>
      <c r="N14" s="246"/>
      <c r="O14" s="246"/>
      <c r="P14" s="246"/>
      <c r="Q14" s="118"/>
      <c r="R14" s="118"/>
      <c r="S14" s="118"/>
      <c r="T14" s="203">
        <f t="shared" si="2"/>
        <v>0</v>
      </c>
      <c r="U14" s="109">
        <f t="shared" si="3"/>
        <v>0</v>
      </c>
      <c r="V14" s="108">
        <f t="shared" si="4"/>
        <v>0</v>
      </c>
      <c r="W14" s="108">
        <f t="shared" si="5"/>
        <v>0</v>
      </c>
      <c r="X14" s="108">
        <f t="shared" si="0"/>
        <v>0</v>
      </c>
      <c r="Y14" s="108">
        <f t="shared" si="0"/>
        <v>0</v>
      </c>
      <c r="Z14" s="108">
        <f t="shared" si="0"/>
        <v>0</v>
      </c>
      <c r="AA14" s="108">
        <f t="shared" si="0"/>
        <v>0</v>
      </c>
      <c r="AB14" s="108">
        <f t="shared" si="0"/>
        <v>0</v>
      </c>
      <c r="AC14" s="108">
        <f t="shared" si="0"/>
        <v>0</v>
      </c>
      <c r="AD14" s="108">
        <f t="shared" si="0"/>
        <v>0</v>
      </c>
      <c r="AE14" s="108">
        <f t="shared" si="0"/>
        <v>0</v>
      </c>
      <c r="AF14" s="108">
        <f t="shared" si="0"/>
        <v>0</v>
      </c>
      <c r="AG14" s="108">
        <f t="shared" si="0"/>
        <v>0</v>
      </c>
      <c r="AH14" s="108">
        <f t="shared" si="0"/>
        <v>0</v>
      </c>
      <c r="AJ14" s="108">
        <f t="shared" si="6"/>
        <v>0</v>
      </c>
      <c r="AK14" s="108">
        <f t="shared" si="1"/>
        <v>0</v>
      </c>
      <c r="AL14" s="108">
        <f t="shared" si="1"/>
        <v>0</v>
      </c>
      <c r="AM14" s="108">
        <f t="shared" si="1"/>
        <v>0</v>
      </c>
      <c r="AN14" s="108">
        <f t="shared" si="1"/>
        <v>0</v>
      </c>
      <c r="AO14" s="108">
        <f t="shared" si="1"/>
        <v>0</v>
      </c>
      <c r="AP14" s="108">
        <f t="shared" si="1"/>
        <v>0</v>
      </c>
      <c r="AQ14" s="108">
        <f t="shared" si="1"/>
        <v>0</v>
      </c>
      <c r="AR14" s="108">
        <f t="shared" si="1"/>
        <v>0</v>
      </c>
      <c r="AS14" s="108">
        <f t="shared" si="1"/>
        <v>0</v>
      </c>
      <c r="AT14" s="108">
        <f t="shared" si="1"/>
        <v>0</v>
      </c>
      <c r="AU14" s="108">
        <f t="shared" si="1"/>
        <v>0</v>
      </c>
    </row>
    <row r="15" spans="1:47" ht="18.75" customHeight="1">
      <c r="A15" s="105" t="s">
        <v>96</v>
      </c>
      <c r="B15" s="248"/>
      <c r="C15" s="247"/>
      <c r="D15" s="247"/>
      <c r="E15" s="246"/>
      <c r="F15" s="246"/>
      <c r="G15" s="246"/>
      <c r="H15" s="246"/>
      <c r="I15" s="246"/>
      <c r="J15" s="246"/>
      <c r="K15" s="246"/>
      <c r="L15" s="246"/>
      <c r="M15" s="246"/>
      <c r="N15" s="246"/>
      <c r="O15" s="246"/>
      <c r="P15" s="246"/>
      <c r="Q15" s="118"/>
      <c r="R15" s="118"/>
      <c r="S15" s="118"/>
      <c r="T15" s="203">
        <f>IF(D15&lt;=330000,0,D15-330000)</f>
        <v>0</v>
      </c>
      <c r="U15" s="109">
        <f>COUNTIF(E15:P15,$L$5)+COUNTIF(E15:P15,$N$5)</f>
        <v>0</v>
      </c>
      <c r="V15" s="108">
        <f>COUNTIF(E15:P15,$N$5)</f>
        <v>0</v>
      </c>
      <c r="W15" s="108">
        <f>IF(E15=$U$2,0,IF($T15&lt;0,0,$T15))</f>
        <v>0</v>
      </c>
      <c r="X15" s="108">
        <f>IF(F15=$U$2,0,IF($T15&lt;0,0,$T15))</f>
        <v>0</v>
      </c>
      <c r="Y15" s="108">
        <f t="shared" si="0"/>
        <v>0</v>
      </c>
      <c r="Z15" s="108">
        <f t="shared" si="0"/>
        <v>0</v>
      </c>
      <c r="AA15" s="108">
        <f t="shared" si="0"/>
        <v>0</v>
      </c>
      <c r="AB15" s="108">
        <f t="shared" si="0"/>
        <v>0</v>
      </c>
      <c r="AC15" s="108">
        <f t="shared" si="0"/>
        <v>0</v>
      </c>
      <c r="AD15" s="108">
        <f t="shared" si="0"/>
        <v>0</v>
      </c>
      <c r="AE15" s="108">
        <f t="shared" si="0"/>
        <v>0</v>
      </c>
      <c r="AF15" s="108">
        <f t="shared" si="0"/>
        <v>0</v>
      </c>
      <c r="AG15" s="108">
        <f t="shared" si="0"/>
        <v>0</v>
      </c>
      <c r="AH15" s="108">
        <f t="shared" si="0"/>
        <v>0</v>
      </c>
      <c r="AJ15" s="108">
        <f>IF(E15=$N$5,W15,0)</f>
        <v>0</v>
      </c>
      <c r="AK15" s="108">
        <f>IF(F15=$N$5,X15,0)</f>
        <v>0</v>
      </c>
      <c r="AL15" s="108">
        <f t="shared" si="1"/>
        <v>0</v>
      </c>
      <c r="AM15" s="108">
        <f t="shared" si="1"/>
        <v>0</v>
      </c>
      <c r="AN15" s="108">
        <f t="shared" si="1"/>
        <v>0</v>
      </c>
      <c r="AO15" s="108">
        <f t="shared" si="1"/>
        <v>0</v>
      </c>
      <c r="AP15" s="108">
        <f t="shared" si="1"/>
        <v>0</v>
      </c>
      <c r="AQ15" s="108">
        <f t="shared" si="1"/>
        <v>0</v>
      </c>
      <c r="AR15" s="108">
        <f t="shared" si="1"/>
        <v>0</v>
      </c>
      <c r="AS15" s="108">
        <f t="shared" si="1"/>
        <v>0</v>
      </c>
      <c r="AT15" s="108">
        <f t="shared" si="1"/>
        <v>0</v>
      </c>
      <c r="AU15" s="108">
        <f t="shared" si="1"/>
        <v>0</v>
      </c>
    </row>
    <row r="16" spans="1:47" ht="18.75" hidden="1" customHeight="1">
      <c r="A16" s="108" t="s">
        <v>97</v>
      </c>
      <c r="B16" s="150">
        <f>COUNTIF(B7:B15,$W$2)</f>
        <v>0</v>
      </c>
      <c r="C16" s="150">
        <f>SUM(C7:C15)</f>
        <v>0</v>
      </c>
      <c r="D16" s="108" t="s">
        <v>98</v>
      </c>
      <c r="E16" s="108">
        <f>COUNTIF(E7:E15,$L$5)+COUNTIF(E7:E15,$N$5)</f>
        <v>0</v>
      </c>
      <c r="F16" s="108">
        <f>COUNTIF(F7:F15,$L$5)+COUNTIF(F7:F15,$N$5)</f>
        <v>0</v>
      </c>
      <c r="G16" s="108">
        <f>COUNTIF(G7:G15,$L$5)+COUNTIF(G7:G15,$N$5)</f>
        <v>0</v>
      </c>
      <c r="H16" s="108">
        <f t="shared" ref="H16:P16" si="7">COUNTIF(H7:H15,$L$5)+COUNTIF(H7:H15,$N$5)</f>
        <v>0</v>
      </c>
      <c r="I16" s="108">
        <f t="shared" si="7"/>
        <v>0</v>
      </c>
      <c r="J16" s="108">
        <f t="shared" si="7"/>
        <v>0</v>
      </c>
      <c r="K16" s="108">
        <f t="shared" si="7"/>
        <v>0</v>
      </c>
      <c r="L16" s="108">
        <f t="shared" si="7"/>
        <v>0</v>
      </c>
      <c r="M16" s="108">
        <f t="shared" si="7"/>
        <v>0</v>
      </c>
      <c r="N16" s="108">
        <f t="shared" si="7"/>
        <v>0</v>
      </c>
      <c r="O16" s="108">
        <f t="shared" si="7"/>
        <v>0</v>
      </c>
      <c r="P16" s="108">
        <f t="shared" si="7"/>
        <v>0</v>
      </c>
      <c r="U16" s="109" t="s">
        <v>99</v>
      </c>
      <c r="W16" s="108">
        <f t="shared" ref="W16" si="8">SUM(W7:W15)</f>
        <v>0</v>
      </c>
      <c r="X16" s="108">
        <f t="shared" ref="X16:AH16" si="9">SUM(X7:X15)</f>
        <v>0</v>
      </c>
      <c r="Y16" s="108">
        <f t="shared" si="9"/>
        <v>0</v>
      </c>
      <c r="Z16" s="108">
        <f t="shared" si="9"/>
        <v>0</v>
      </c>
      <c r="AA16" s="108">
        <f t="shared" si="9"/>
        <v>0</v>
      </c>
      <c r="AB16" s="108">
        <f t="shared" si="9"/>
        <v>0</v>
      </c>
      <c r="AC16" s="108">
        <f t="shared" si="9"/>
        <v>0</v>
      </c>
      <c r="AD16" s="108">
        <f t="shared" si="9"/>
        <v>0</v>
      </c>
      <c r="AE16" s="108">
        <f t="shared" si="9"/>
        <v>0</v>
      </c>
      <c r="AF16" s="108">
        <f t="shared" si="9"/>
        <v>0</v>
      </c>
      <c r="AG16" s="108">
        <f t="shared" si="9"/>
        <v>0</v>
      </c>
      <c r="AH16" s="108">
        <f t="shared" si="9"/>
        <v>0</v>
      </c>
      <c r="AJ16" s="108">
        <f t="shared" ref="AJ16:AU16" si="10">SUM(AJ7:AJ15)</f>
        <v>0</v>
      </c>
      <c r="AK16" s="108">
        <f t="shared" si="10"/>
        <v>0</v>
      </c>
      <c r="AL16" s="108">
        <f t="shared" si="10"/>
        <v>0</v>
      </c>
      <c r="AM16" s="108">
        <f t="shared" si="10"/>
        <v>0</v>
      </c>
      <c r="AN16" s="108">
        <f t="shared" si="10"/>
        <v>0</v>
      </c>
      <c r="AO16" s="108">
        <f t="shared" si="10"/>
        <v>0</v>
      </c>
      <c r="AP16" s="108">
        <f t="shared" si="10"/>
        <v>0</v>
      </c>
      <c r="AQ16" s="108">
        <f t="shared" si="10"/>
        <v>0</v>
      </c>
      <c r="AR16" s="108">
        <f t="shared" si="10"/>
        <v>0</v>
      </c>
      <c r="AS16" s="108">
        <f t="shared" si="10"/>
        <v>0</v>
      </c>
      <c r="AT16" s="108">
        <f t="shared" si="10"/>
        <v>0</v>
      </c>
      <c r="AU16" s="108">
        <f t="shared" si="10"/>
        <v>0</v>
      </c>
    </row>
    <row r="17" spans="1:60" ht="18.75" hidden="1" customHeight="1">
      <c r="D17" s="108" t="s">
        <v>85</v>
      </c>
      <c r="E17" s="108">
        <f>COUNTIF(E7:E15,$N$5)</f>
        <v>0</v>
      </c>
      <c r="F17" s="108">
        <f>COUNTIF(F7:F15,$N$5)</f>
        <v>0</v>
      </c>
      <c r="G17" s="108">
        <f t="shared" ref="G17:P17" si="11">COUNTIF(G7:G15,$N$5)</f>
        <v>0</v>
      </c>
      <c r="H17" s="108">
        <f t="shared" si="11"/>
        <v>0</v>
      </c>
      <c r="I17" s="108">
        <f t="shared" si="11"/>
        <v>0</v>
      </c>
      <c r="J17" s="108">
        <f t="shared" si="11"/>
        <v>0</v>
      </c>
      <c r="K17" s="108">
        <f t="shared" si="11"/>
        <v>0</v>
      </c>
      <c r="L17" s="108">
        <f t="shared" si="11"/>
        <v>0</v>
      </c>
      <c r="M17" s="108">
        <f t="shared" si="11"/>
        <v>0</v>
      </c>
      <c r="N17" s="108">
        <f t="shared" si="11"/>
        <v>0</v>
      </c>
      <c r="O17" s="108">
        <f t="shared" si="11"/>
        <v>0</v>
      </c>
      <c r="P17" s="108">
        <f t="shared" si="11"/>
        <v>0</v>
      </c>
      <c r="U17" s="109" t="s">
        <v>99</v>
      </c>
    </row>
    <row r="18" spans="1:60" ht="18.75" hidden="1" customHeight="1">
      <c r="W18" s="108" t="s">
        <v>100</v>
      </c>
    </row>
    <row r="19" spans="1:60" ht="18.75" hidden="1" customHeight="1" thickBot="1">
      <c r="D19" s="113" t="s">
        <v>101</v>
      </c>
      <c r="E19" s="116">
        <v>4</v>
      </c>
      <c r="F19" s="116">
        <v>5</v>
      </c>
      <c r="G19" s="116">
        <v>6</v>
      </c>
      <c r="H19" s="116">
        <v>7</v>
      </c>
      <c r="I19" s="116">
        <v>8</v>
      </c>
      <c r="J19" s="116">
        <v>9</v>
      </c>
      <c r="K19" s="116">
        <v>10</v>
      </c>
      <c r="L19" s="116">
        <v>11</v>
      </c>
      <c r="M19" s="116">
        <v>12</v>
      </c>
      <c r="N19" s="116">
        <v>1</v>
      </c>
      <c r="O19" s="116">
        <v>2</v>
      </c>
      <c r="P19" s="116">
        <v>3</v>
      </c>
      <c r="Q19" s="117"/>
      <c r="R19" s="117"/>
      <c r="S19" s="117"/>
      <c r="T19" s="117"/>
      <c r="W19" s="108">
        <v>4</v>
      </c>
      <c r="X19" s="108">
        <v>5</v>
      </c>
      <c r="Y19" s="108">
        <v>6</v>
      </c>
      <c r="Z19" s="108">
        <v>7</v>
      </c>
      <c r="AA19" s="108">
        <v>8</v>
      </c>
      <c r="AB19" s="108">
        <v>9</v>
      </c>
      <c r="AC19" s="108">
        <v>10</v>
      </c>
      <c r="AD19" s="108">
        <v>11</v>
      </c>
      <c r="AE19" s="108">
        <v>12</v>
      </c>
      <c r="AF19" s="108">
        <v>1</v>
      </c>
      <c r="AG19" s="108">
        <v>2</v>
      </c>
      <c r="AH19" s="108">
        <v>3</v>
      </c>
    </row>
    <row r="20" spans="1:60" ht="18.75" hidden="1" customHeight="1" thickBot="1">
      <c r="A20" s="119" t="s">
        <v>100</v>
      </c>
      <c r="B20" s="172"/>
      <c r="C20" s="172"/>
      <c r="D20" s="120">
        <v>1</v>
      </c>
      <c r="E20" s="121"/>
      <c r="F20" s="122">
        <f>E20</f>
        <v>0</v>
      </c>
      <c r="G20" s="122">
        <f t="shared" ref="G20:P20" si="12">F20</f>
        <v>0</v>
      </c>
      <c r="H20" s="122">
        <f t="shared" si="12"/>
        <v>0</v>
      </c>
      <c r="I20" s="122">
        <f t="shared" si="12"/>
        <v>0</v>
      </c>
      <c r="J20" s="122">
        <f t="shared" si="12"/>
        <v>0</v>
      </c>
      <c r="K20" s="122">
        <f t="shared" si="12"/>
        <v>0</v>
      </c>
      <c r="L20" s="122">
        <f t="shared" si="12"/>
        <v>0</v>
      </c>
      <c r="M20" s="122">
        <f t="shared" si="12"/>
        <v>0</v>
      </c>
      <c r="N20" s="122">
        <f t="shared" si="12"/>
        <v>0</v>
      </c>
      <c r="O20" s="122">
        <f t="shared" si="12"/>
        <v>0</v>
      </c>
      <c r="P20" s="123">
        <f t="shared" si="12"/>
        <v>0</v>
      </c>
      <c r="Q20" s="124"/>
      <c r="R20" s="124"/>
      <c r="S20" s="124"/>
      <c r="T20" s="124"/>
      <c r="W20" s="125">
        <f>IF(E20=$F$21,$D$20,1)</f>
        <v>1</v>
      </c>
      <c r="X20" s="125">
        <f>IF(F20=$F$21,$D$20,1)</f>
        <v>1</v>
      </c>
      <c r="Y20" s="125">
        <f t="shared" ref="Y20:AG20" si="13">IF(G20=$F$21,$D$20,1)</f>
        <v>1</v>
      </c>
      <c r="Z20" s="125">
        <f t="shared" si="13"/>
        <v>1</v>
      </c>
      <c r="AA20" s="125">
        <f t="shared" si="13"/>
        <v>1</v>
      </c>
      <c r="AB20" s="125">
        <f t="shared" si="13"/>
        <v>1</v>
      </c>
      <c r="AC20" s="125">
        <f t="shared" si="13"/>
        <v>1</v>
      </c>
      <c r="AD20" s="125">
        <f t="shared" si="13"/>
        <v>1</v>
      </c>
      <c r="AE20" s="125">
        <f t="shared" si="13"/>
        <v>1</v>
      </c>
      <c r="AF20" s="125">
        <f t="shared" si="13"/>
        <v>1</v>
      </c>
      <c r="AG20" s="125">
        <f t="shared" si="13"/>
        <v>1</v>
      </c>
      <c r="AH20" s="125">
        <f>IF(P20=$F$21,$D$20,1)</f>
        <v>1</v>
      </c>
    </row>
    <row r="21" spans="1:60" ht="18.75" hidden="1" customHeight="1">
      <c r="E21" s="111" t="s">
        <v>102</v>
      </c>
      <c r="F21" s="126" t="str">
        <f>L5</f>
        <v>○</v>
      </c>
      <c r="G21" s="111" t="s">
        <v>103</v>
      </c>
      <c r="H21" s="126">
        <f>J5</f>
        <v>0</v>
      </c>
      <c r="W21" s="127"/>
      <c r="X21" s="127"/>
      <c r="Y21" s="127"/>
      <c r="Z21" s="127"/>
      <c r="AA21" s="127"/>
      <c r="AB21" s="127"/>
      <c r="AC21" s="127"/>
      <c r="AD21" s="127"/>
      <c r="AE21" s="127"/>
      <c r="AF21" s="127"/>
      <c r="AG21" s="127"/>
      <c r="AH21" s="127"/>
    </row>
    <row r="22" spans="1:60" ht="18.75" hidden="1" customHeight="1">
      <c r="W22" s="127"/>
      <c r="X22" s="127"/>
      <c r="Y22" s="127"/>
      <c r="Z22" s="127"/>
      <c r="AA22" s="127"/>
      <c r="AB22" s="127"/>
      <c r="AC22" s="127"/>
      <c r="AD22" s="127"/>
      <c r="AE22" s="127"/>
      <c r="AF22" s="127"/>
      <c r="AG22" s="127"/>
      <c r="AH22" s="127"/>
    </row>
    <row r="23" spans="1:60" ht="18.75" hidden="1" customHeight="1">
      <c r="A23" s="107" t="s">
        <v>104</v>
      </c>
      <c r="B23" s="107"/>
      <c r="C23" s="107"/>
      <c r="F23" s="107" t="s">
        <v>105</v>
      </c>
      <c r="X23" s="127"/>
      <c r="Y23" s="127"/>
      <c r="Z23" s="127"/>
      <c r="AA23" s="127"/>
      <c r="AB23" s="127"/>
      <c r="AC23" s="127"/>
      <c r="AD23" s="127"/>
      <c r="AE23" s="127"/>
      <c r="AF23" s="127"/>
      <c r="AG23" s="127"/>
      <c r="AH23" s="127"/>
    </row>
    <row r="24" spans="1:60" ht="18.75" hidden="1" customHeight="1">
      <c r="A24" s="218" t="s">
        <v>86</v>
      </c>
      <c r="B24" s="169"/>
      <c r="C24" s="169"/>
      <c r="D24" s="218" t="s">
        <v>106</v>
      </c>
      <c r="E24" s="218"/>
      <c r="F24" s="218"/>
      <c r="G24" s="218" t="s">
        <v>107</v>
      </c>
      <c r="H24" s="218"/>
      <c r="I24" s="218"/>
      <c r="J24" s="218" t="s">
        <v>108</v>
      </c>
      <c r="K24" s="218"/>
      <c r="L24" s="218"/>
      <c r="M24" s="217" t="s">
        <v>109</v>
      </c>
      <c r="N24" s="217" t="s">
        <v>110</v>
      </c>
      <c r="O24" s="217" t="s">
        <v>111</v>
      </c>
      <c r="P24" s="217" t="s">
        <v>112</v>
      </c>
      <c r="Q24" s="128" t="s">
        <v>113</v>
      </c>
      <c r="R24" s="117"/>
      <c r="S24" s="117"/>
      <c r="T24" s="117"/>
      <c r="W24" s="108" t="s">
        <v>114</v>
      </c>
      <c r="AA24" s="127"/>
      <c r="AB24" s="127"/>
      <c r="AC24" s="127"/>
      <c r="AD24" s="127"/>
      <c r="AE24" s="127"/>
      <c r="AF24" s="127"/>
      <c r="AG24" s="127"/>
      <c r="AH24" s="127"/>
      <c r="AI24" s="127"/>
      <c r="AJ24" s="179" t="s">
        <v>182</v>
      </c>
      <c r="AN24" s="127"/>
      <c r="AO24" s="127"/>
      <c r="AP24" s="127"/>
      <c r="AQ24" s="127"/>
      <c r="AR24" s="127"/>
      <c r="AS24" s="127"/>
      <c r="AT24" s="127"/>
      <c r="AU24" s="127"/>
      <c r="AW24" s="179" t="s">
        <v>183</v>
      </c>
      <c r="BA24" s="127"/>
      <c r="BB24" s="127"/>
      <c r="BC24" s="127"/>
      <c r="BD24" s="127"/>
      <c r="BE24" s="127"/>
      <c r="BF24" s="127"/>
      <c r="BG24" s="127"/>
      <c r="BH24" s="127"/>
    </row>
    <row r="25" spans="1:60" ht="18.75" hidden="1" customHeight="1">
      <c r="A25" s="218"/>
      <c r="B25" s="169"/>
      <c r="C25" s="169"/>
      <c r="D25" s="115" t="s">
        <v>115</v>
      </c>
      <c r="E25" s="115" t="s">
        <v>116</v>
      </c>
      <c r="F25" s="116" t="s">
        <v>117</v>
      </c>
      <c r="G25" s="115" t="s">
        <v>115</v>
      </c>
      <c r="H25" s="115" t="s">
        <v>116</v>
      </c>
      <c r="I25" s="116" t="s">
        <v>117</v>
      </c>
      <c r="J25" s="115" t="s">
        <v>115</v>
      </c>
      <c r="K25" s="115" t="s">
        <v>116</v>
      </c>
      <c r="L25" s="116" t="s">
        <v>117</v>
      </c>
      <c r="M25" s="217"/>
      <c r="N25" s="217"/>
      <c r="O25" s="217"/>
      <c r="P25" s="217"/>
      <c r="Q25" s="117" t="s">
        <v>84</v>
      </c>
      <c r="R25" s="117" t="s">
        <v>112</v>
      </c>
      <c r="S25" s="117"/>
      <c r="T25" s="117"/>
      <c r="W25" s="108">
        <v>4</v>
      </c>
      <c r="X25" s="108">
        <v>5</v>
      </c>
      <c r="Y25" s="108">
        <v>6</v>
      </c>
      <c r="Z25" s="108">
        <v>7</v>
      </c>
      <c r="AA25" s="108">
        <v>8</v>
      </c>
      <c r="AB25" s="108">
        <v>9</v>
      </c>
      <c r="AC25" s="108">
        <v>10</v>
      </c>
      <c r="AD25" s="108">
        <v>11</v>
      </c>
      <c r="AE25" s="108">
        <v>12</v>
      </c>
      <c r="AF25" s="108">
        <v>1</v>
      </c>
      <c r="AG25" s="108">
        <v>2</v>
      </c>
      <c r="AH25" s="108">
        <v>3</v>
      </c>
      <c r="AJ25" s="108">
        <v>4</v>
      </c>
      <c r="AK25" s="108">
        <v>5</v>
      </c>
      <c r="AL25" s="108">
        <v>6</v>
      </c>
      <c r="AM25" s="108">
        <v>7</v>
      </c>
      <c r="AN25" s="108">
        <v>8</v>
      </c>
      <c r="AO25" s="108">
        <v>9</v>
      </c>
      <c r="AP25" s="108">
        <v>10</v>
      </c>
      <c r="AQ25" s="108">
        <v>11</v>
      </c>
      <c r="AR25" s="108">
        <v>12</v>
      </c>
      <c r="AS25" s="108">
        <v>1</v>
      </c>
      <c r="AT25" s="108">
        <v>2</v>
      </c>
      <c r="AU25" s="108">
        <v>3</v>
      </c>
      <c r="AW25" s="108">
        <v>4</v>
      </c>
      <c r="AX25" s="108">
        <v>5</v>
      </c>
      <c r="AY25" s="108">
        <v>6</v>
      </c>
      <c r="AZ25" s="108">
        <v>7</v>
      </c>
      <c r="BA25" s="108">
        <v>8</v>
      </c>
      <c r="BB25" s="108">
        <v>9</v>
      </c>
      <c r="BC25" s="108">
        <v>10</v>
      </c>
      <c r="BD25" s="108">
        <v>11</v>
      </c>
      <c r="BE25" s="108">
        <v>12</v>
      </c>
      <c r="BF25" s="108">
        <v>1</v>
      </c>
      <c r="BG25" s="108">
        <v>2</v>
      </c>
      <c r="BH25" s="108">
        <v>3</v>
      </c>
    </row>
    <row r="26" spans="1:60" ht="18.75" hidden="1" customHeight="1">
      <c r="A26" s="129" t="s">
        <v>179</v>
      </c>
      <c r="B26" s="173"/>
      <c r="C26" s="173"/>
      <c r="D26" s="130">
        <f t="shared" ref="D26:D33" si="14">ROUNDDOWN(ROUNDDOWN(D7*$I$69,0)*($U7/12),0)</f>
        <v>0</v>
      </c>
      <c r="E26" s="131" t="e">
        <f t="shared" ref="E26:E34" si="15">ROUNDDOWN($U7/12*$I$70,0)</f>
        <v>#N/A</v>
      </c>
      <c r="F26" s="153">
        <f>SUM(W26:AH26)</f>
        <v>0</v>
      </c>
      <c r="G26" s="130">
        <f t="shared" ref="G26:G33" si="16">ROUNDDOWN(ROUNDDOWN(D7*$J$69,0)*($U7/12),0)</f>
        <v>0</v>
      </c>
      <c r="H26" s="131" t="e">
        <f t="shared" ref="H26:H34" si="17">ROUNDDOWN($U7/12*$J$70,0)</f>
        <v>#N/A</v>
      </c>
      <c r="I26" s="153">
        <f>SUM(AJ26:AU26)</f>
        <v>0</v>
      </c>
      <c r="J26" s="130">
        <f t="shared" ref="J26:J33" si="18">ROUNDDOWN(ROUNDDOWN(D7*$K$69,0)*($V7/12),0)</f>
        <v>0</v>
      </c>
      <c r="K26" s="131" t="e">
        <f t="shared" ref="K26:K34" si="19">ROUNDDOWN($V7/12*$K$70,0)</f>
        <v>#N/A</v>
      </c>
      <c r="L26" s="153">
        <f>SUM(AW26:BH26)</f>
        <v>0</v>
      </c>
      <c r="M26" s="133">
        <f t="shared" ref="M26:O32" si="20">D26+G26+J26</f>
        <v>0</v>
      </c>
      <c r="N26" s="133" t="e">
        <f t="shared" si="20"/>
        <v>#N/A</v>
      </c>
      <c r="O26" s="133">
        <f t="shared" si="20"/>
        <v>0</v>
      </c>
      <c r="P26" s="133" t="e">
        <f>SUM(M26:O26)</f>
        <v>#N/A</v>
      </c>
      <c r="Q26" s="134" t="e">
        <f>D26-ROUNDDOWN($F$39*D26/$D$35,0)+G26-ROUNDDOWN($I$39*G26/$G$35,0)+J26-IF($J$35=0,0,ROUNDDOWN($L$39*J26/$J$35,0))</f>
        <v>#N/A</v>
      </c>
      <c r="R26" s="134" t="e">
        <f>Q26+N26+O26</f>
        <v>#N/A</v>
      </c>
      <c r="S26" s="134"/>
      <c r="T26" s="134"/>
      <c r="W26" s="108">
        <f>IF(OR(E7=$U$3,E7=$U$4),ROUNDDOWN(ROUNDDOWN($I$71/12*W$20,0)/E$16,0),0)</f>
        <v>0</v>
      </c>
      <c r="X26" s="108">
        <f t="shared" ref="X26:X33" si="21">IF(OR(F7=$U$3,F7=$U$4),ROUNDDOWN(ROUNDDOWN($I$71/12*X$20,0)/F$16,0),0)</f>
        <v>0</v>
      </c>
      <c r="Y26" s="108">
        <f t="shared" ref="Y26:Y34" si="22">IF(OR(G7=$U$3,G7=$U$4),ROUNDDOWN(ROUNDDOWN($I$71/12*Y$20,0)/G$16,0),0)</f>
        <v>0</v>
      </c>
      <c r="Z26" s="108">
        <f t="shared" ref="Z26:Z34" si="23">IF(OR(H7=$U$3,H7=$U$4),ROUNDDOWN(ROUNDDOWN($I$71/12*Z$20,0)/H$16,0),0)</f>
        <v>0</v>
      </c>
      <c r="AA26" s="108">
        <f t="shared" ref="AA26:AA34" si="24">IF(OR(I7=$U$3,I7=$U$4),ROUNDDOWN(ROUNDDOWN($I$71/12*AA$20,0)/I$16,0),0)</f>
        <v>0</v>
      </c>
      <c r="AB26" s="108">
        <f t="shared" ref="AB26:AB34" si="25">IF(OR(J7=$U$3,J7=$U$4),ROUNDDOWN(ROUNDDOWN($I$71/12*AB$20,0)/J$16,0),0)</f>
        <v>0</v>
      </c>
      <c r="AC26" s="108">
        <f t="shared" ref="AC26:AC34" si="26">IF(OR(K7=$U$3,K7=$U$4),ROUNDDOWN(ROUNDDOWN($I$71/12*AC$20,0)/K$16,0),0)</f>
        <v>0</v>
      </c>
      <c r="AD26" s="108">
        <f t="shared" ref="AD26:AD34" si="27">IF(OR(L7=$U$3,L7=$U$4),ROUNDDOWN(ROUNDDOWN($I$71/12*AD$20,0)/L$16,0),0)</f>
        <v>0</v>
      </c>
      <c r="AE26" s="108">
        <f t="shared" ref="AE26:AE34" si="28">IF(OR(M7=$U$3,M7=$U$4),ROUNDDOWN(ROUNDDOWN($I$71/12*AE$20,0)/M$16,0),0)</f>
        <v>0</v>
      </c>
      <c r="AF26" s="108">
        <f t="shared" ref="AF26:AF34" si="29">IF(OR(N7=$U$3,N7=$U$4),ROUNDDOWN(ROUNDDOWN($I$71/12*AF$20,0)/N$16,0),0)</f>
        <v>0</v>
      </c>
      <c r="AG26" s="108">
        <f t="shared" ref="AG26:AG34" si="30">IF(OR(O7=$U$3,O7=$U$4),ROUNDDOWN(ROUNDDOWN($I$71/12*AG$20,0)/O$16,0),0)</f>
        <v>0</v>
      </c>
      <c r="AH26" s="108">
        <f t="shared" ref="AH26:AH34" si="31">IF(OR(P7=$U$3,P7=$U$4),ROUNDDOWN(ROUNDDOWN($I$71/12*AH$20,0)/P$16,0),0)</f>
        <v>0</v>
      </c>
      <c r="AJ26" s="108">
        <f t="shared" ref="AJ26:AJ33" si="32">IF(OR(E7=$U$3,E7=$U$4),ROUNDDOWN(ROUNDDOWN($J$71/12*W$20,0)/E$16,0),0)</f>
        <v>0</v>
      </c>
      <c r="AK26" s="108">
        <f t="shared" ref="AK26:AU34" si="33">IF(OR(F7=$U$3,F7=$U$4),ROUNDDOWN(ROUNDDOWN($J$71/12*X$20,0)/F$16,0),0)</f>
        <v>0</v>
      </c>
      <c r="AL26" s="108">
        <f t="shared" si="33"/>
        <v>0</v>
      </c>
      <c r="AM26" s="108">
        <f t="shared" si="33"/>
        <v>0</v>
      </c>
      <c r="AN26" s="108">
        <f t="shared" si="33"/>
        <v>0</v>
      </c>
      <c r="AO26" s="108">
        <f t="shared" si="33"/>
        <v>0</v>
      </c>
      <c r="AP26" s="108">
        <f t="shared" si="33"/>
        <v>0</v>
      </c>
      <c r="AQ26" s="108">
        <f t="shared" si="33"/>
        <v>0</v>
      </c>
      <c r="AR26" s="108">
        <f t="shared" si="33"/>
        <v>0</v>
      </c>
      <c r="AS26" s="108">
        <f t="shared" si="33"/>
        <v>0</v>
      </c>
      <c r="AT26" s="108">
        <f t="shared" si="33"/>
        <v>0</v>
      </c>
      <c r="AU26" s="108">
        <f t="shared" si="33"/>
        <v>0</v>
      </c>
      <c r="AW26" s="108">
        <f>IF(E7=$U$4,ROUNDDOWN(ROUNDDOWN($K$71/12,0)/E$17,0),0)</f>
        <v>0</v>
      </c>
      <c r="AX26" s="108">
        <f t="shared" ref="AX26:BH34" si="34">IF(F7=$U$4,ROUNDDOWN(ROUNDDOWN($K$71/12,0)/F$17,0),0)</f>
        <v>0</v>
      </c>
      <c r="AY26" s="108">
        <f t="shared" si="34"/>
        <v>0</v>
      </c>
      <c r="AZ26" s="108">
        <f t="shared" si="34"/>
        <v>0</v>
      </c>
      <c r="BA26" s="108">
        <f t="shared" si="34"/>
        <v>0</v>
      </c>
      <c r="BB26" s="108">
        <f t="shared" si="34"/>
        <v>0</v>
      </c>
      <c r="BC26" s="108">
        <f t="shared" si="34"/>
        <v>0</v>
      </c>
      <c r="BD26" s="108">
        <f t="shared" si="34"/>
        <v>0</v>
      </c>
      <c r="BE26" s="108">
        <f t="shared" si="34"/>
        <v>0</v>
      </c>
      <c r="BF26" s="108">
        <f t="shared" si="34"/>
        <v>0</v>
      </c>
      <c r="BG26" s="108">
        <f t="shared" si="34"/>
        <v>0</v>
      </c>
      <c r="BH26" s="108">
        <f t="shared" si="34"/>
        <v>0</v>
      </c>
    </row>
    <row r="27" spans="1:60" ht="18.75" hidden="1" customHeight="1">
      <c r="A27" s="129" t="s">
        <v>119</v>
      </c>
      <c r="B27" s="173"/>
      <c r="C27" s="173"/>
      <c r="D27" s="130">
        <f t="shared" si="14"/>
        <v>0</v>
      </c>
      <c r="E27" s="131" t="e">
        <f t="shared" si="15"/>
        <v>#N/A</v>
      </c>
      <c r="F27" s="153">
        <f t="shared" ref="F27:F34" si="35">SUM(W27:AH27)</f>
        <v>0</v>
      </c>
      <c r="G27" s="130">
        <f t="shared" si="16"/>
        <v>0</v>
      </c>
      <c r="H27" s="131" t="e">
        <f t="shared" si="17"/>
        <v>#N/A</v>
      </c>
      <c r="I27" s="153">
        <f t="shared" ref="I27:I34" si="36">SUM(AJ27:AU27)</f>
        <v>0</v>
      </c>
      <c r="J27" s="130">
        <f t="shared" si="18"/>
        <v>0</v>
      </c>
      <c r="K27" s="131" t="e">
        <f t="shared" si="19"/>
        <v>#N/A</v>
      </c>
      <c r="L27" s="153">
        <f t="shared" ref="L27:L34" si="37">SUM(AW27:BH27)</f>
        <v>0</v>
      </c>
      <c r="M27" s="133">
        <f t="shared" si="20"/>
        <v>0</v>
      </c>
      <c r="N27" s="133" t="e">
        <f t="shared" si="20"/>
        <v>#N/A</v>
      </c>
      <c r="O27" s="133">
        <f t="shared" si="20"/>
        <v>0</v>
      </c>
      <c r="P27" s="133" t="e">
        <f t="shared" ref="P27:P34" si="38">SUM(M27:O27)</f>
        <v>#N/A</v>
      </c>
      <c r="Q27" s="134" t="e">
        <f t="shared" ref="Q27:Q34" si="39">D27-ROUNDDOWN($F$39*D27/$D$35,0)+G27-ROUNDDOWN($I$39*G27/$G$35,0)+J27-IF($J$35=0,0,ROUNDDOWN($L$39*J27/$J$35,0))</f>
        <v>#N/A</v>
      </c>
      <c r="R27" s="134" t="e">
        <f t="shared" ref="R27:R34" si="40">Q27+N27+O27</f>
        <v>#N/A</v>
      </c>
      <c r="S27" s="134"/>
      <c r="T27" s="134"/>
      <c r="W27" s="108">
        <f t="shared" ref="W27:W33" si="41">IF(OR(E8=$U$3,E8=$U$4),ROUNDDOWN(ROUNDDOWN($I$71/12*W$20,0)/E$16,0),0)</f>
        <v>0</v>
      </c>
      <c r="X27" s="108">
        <f t="shared" si="21"/>
        <v>0</v>
      </c>
      <c r="Y27" s="108">
        <f t="shared" si="22"/>
        <v>0</v>
      </c>
      <c r="Z27" s="108">
        <f t="shared" si="23"/>
        <v>0</v>
      </c>
      <c r="AA27" s="108">
        <f t="shared" si="24"/>
        <v>0</v>
      </c>
      <c r="AB27" s="108">
        <f t="shared" si="25"/>
        <v>0</v>
      </c>
      <c r="AC27" s="108">
        <f t="shared" si="26"/>
        <v>0</v>
      </c>
      <c r="AD27" s="108">
        <f t="shared" si="27"/>
        <v>0</v>
      </c>
      <c r="AE27" s="108">
        <f t="shared" si="28"/>
        <v>0</v>
      </c>
      <c r="AF27" s="108">
        <f t="shared" si="29"/>
        <v>0</v>
      </c>
      <c r="AG27" s="108">
        <f t="shared" si="30"/>
        <v>0</v>
      </c>
      <c r="AH27" s="108">
        <f t="shared" si="31"/>
        <v>0</v>
      </c>
      <c r="AJ27" s="108">
        <f t="shared" si="32"/>
        <v>0</v>
      </c>
      <c r="AK27" s="108">
        <f t="shared" si="33"/>
        <v>0</v>
      </c>
      <c r="AL27" s="108">
        <f t="shared" si="33"/>
        <v>0</v>
      </c>
      <c r="AM27" s="108">
        <f t="shared" si="33"/>
        <v>0</v>
      </c>
      <c r="AN27" s="108">
        <f t="shared" si="33"/>
        <v>0</v>
      </c>
      <c r="AO27" s="108">
        <f t="shared" si="33"/>
        <v>0</v>
      </c>
      <c r="AP27" s="108">
        <f t="shared" si="33"/>
        <v>0</v>
      </c>
      <c r="AQ27" s="108">
        <f t="shared" si="33"/>
        <v>0</v>
      </c>
      <c r="AR27" s="108">
        <f t="shared" si="33"/>
        <v>0</v>
      </c>
      <c r="AS27" s="108">
        <f t="shared" si="33"/>
        <v>0</v>
      </c>
      <c r="AT27" s="108">
        <f t="shared" si="33"/>
        <v>0</v>
      </c>
      <c r="AU27" s="108">
        <f t="shared" si="33"/>
        <v>0</v>
      </c>
      <c r="AW27" s="108">
        <f t="shared" ref="AW27:AW33" si="42">IF(E8=$U$4,ROUNDDOWN(ROUNDDOWN($K$71/12,0)/E$17,0),0)</f>
        <v>0</v>
      </c>
      <c r="AX27" s="108">
        <f t="shared" si="34"/>
        <v>0</v>
      </c>
      <c r="AY27" s="108">
        <f t="shared" si="34"/>
        <v>0</v>
      </c>
      <c r="AZ27" s="108">
        <f t="shared" si="34"/>
        <v>0</v>
      </c>
      <c r="BA27" s="108">
        <f t="shared" si="34"/>
        <v>0</v>
      </c>
      <c r="BB27" s="108">
        <f t="shared" si="34"/>
        <v>0</v>
      </c>
      <c r="BC27" s="108">
        <f t="shared" si="34"/>
        <v>0</v>
      </c>
      <c r="BD27" s="108">
        <f t="shared" si="34"/>
        <v>0</v>
      </c>
      <c r="BE27" s="108">
        <f t="shared" si="34"/>
        <v>0</v>
      </c>
      <c r="BF27" s="108">
        <f t="shared" si="34"/>
        <v>0</v>
      </c>
      <c r="BG27" s="108">
        <f t="shared" si="34"/>
        <v>0</v>
      </c>
      <c r="BH27" s="108">
        <f t="shared" si="34"/>
        <v>0</v>
      </c>
    </row>
    <row r="28" spans="1:60" ht="18.75" hidden="1" customHeight="1">
      <c r="A28" s="129" t="s">
        <v>120</v>
      </c>
      <c r="B28" s="173"/>
      <c r="C28" s="173"/>
      <c r="D28" s="130">
        <f t="shared" si="14"/>
        <v>0</v>
      </c>
      <c r="E28" s="131" t="e">
        <f t="shared" si="15"/>
        <v>#N/A</v>
      </c>
      <c r="F28" s="153">
        <f t="shared" si="35"/>
        <v>0</v>
      </c>
      <c r="G28" s="130">
        <f t="shared" si="16"/>
        <v>0</v>
      </c>
      <c r="H28" s="131" t="e">
        <f t="shared" si="17"/>
        <v>#N/A</v>
      </c>
      <c r="I28" s="153">
        <f t="shared" si="36"/>
        <v>0</v>
      </c>
      <c r="J28" s="130">
        <f t="shared" si="18"/>
        <v>0</v>
      </c>
      <c r="K28" s="131" t="e">
        <f t="shared" si="19"/>
        <v>#N/A</v>
      </c>
      <c r="L28" s="153">
        <f t="shared" si="37"/>
        <v>0</v>
      </c>
      <c r="M28" s="133">
        <f t="shared" ref="M28:M31" si="43">D28+G28+J28</f>
        <v>0</v>
      </c>
      <c r="N28" s="133" t="e">
        <f t="shared" ref="N28:N31" si="44">E28+H28+K28</f>
        <v>#N/A</v>
      </c>
      <c r="O28" s="133">
        <f t="shared" ref="O28:O31" si="45">F28+I28+L28</f>
        <v>0</v>
      </c>
      <c r="P28" s="133" t="e">
        <f t="shared" ref="P28:P31" si="46">SUM(M28:O28)</f>
        <v>#N/A</v>
      </c>
      <c r="Q28" s="134" t="e">
        <f t="shared" ref="Q28:Q31" si="47">D28-ROUNDDOWN($F$39*D28/$D$35,0)+G28-ROUNDDOWN($I$39*G28/$G$35,0)+J28-IF($J$35=0,0,ROUNDDOWN($L$39*J28/$J$35,0))</f>
        <v>#N/A</v>
      </c>
      <c r="R28" s="134" t="e">
        <f t="shared" ref="R28:R31" si="48">Q28+N28+O28</f>
        <v>#N/A</v>
      </c>
      <c r="S28" s="134"/>
      <c r="T28" s="134"/>
      <c r="W28" s="108">
        <f t="shared" si="41"/>
        <v>0</v>
      </c>
      <c r="X28" s="108">
        <f t="shared" si="21"/>
        <v>0</v>
      </c>
      <c r="Y28" s="108">
        <f t="shared" si="22"/>
        <v>0</v>
      </c>
      <c r="Z28" s="108">
        <f t="shared" si="23"/>
        <v>0</v>
      </c>
      <c r="AA28" s="108">
        <f t="shared" si="24"/>
        <v>0</v>
      </c>
      <c r="AB28" s="108">
        <f t="shared" si="25"/>
        <v>0</v>
      </c>
      <c r="AC28" s="108">
        <f t="shared" si="26"/>
        <v>0</v>
      </c>
      <c r="AD28" s="108">
        <f t="shared" si="27"/>
        <v>0</v>
      </c>
      <c r="AE28" s="108">
        <f t="shared" si="28"/>
        <v>0</v>
      </c>
      <c r="AF28" s="108">
        <f t="shared" si="29"/>
        <v>0</v>
      </c>
      <c r="AG28" s="108">
        <f t="shared" si="30"/>
        <v>0</v>
      </c>
      <c r="AH28" s="108">
        <f t="shared" si="31"/>
        <v>0</v>
      </c>
      <c r="AJ28" s="108">
        <f t="shared" si="32"/>
        <v>0</v>
      </c>
      <c r="AK28" s="108">
        <f t="shared" si="33"/>
        <v>0</v>
      </c>
      <c r="AL28" s="108">
        <f t="shared" si="33"/>
        <v>0</v>
      </c>
      <c r="AM28" s="108">
        <f t="shared" si="33"/>
        <v>0</v>
      </c>
      <c r="AN28" s="108">
        <f t="shared" si="33"/>
        <v>0</v>
      </c>
      <c r="AO28" s="108">
        <f t="shared" si="33"/>
        <v>0</v>
      </c>
      <c r="AP28" s="108">
        <f t="shared" si="33"/>
        <v>0</v>
      </c>
      <c r="AQ28" s="108">
        <f t="shared" si="33"/>
        <v>0</v>
      </c>
      <c r="AR28" s="108">
        <f t="shared" si="33"/>
        <v>0</v>
      </c>
      <c r="AS28" s="108">
        <f t="shared" si="33"/>
        <v>0</v>
      </c>
      <c r="AT28" s="108">
        <f t="shared" si="33"/>
        <v>0</v>
      </c>
      <c r="AU28" s="108">
        <f t="shared" si="33"/>
        <v>0</v>
      </c>
      <c r="AW28" s="108">
        <f t="shared" si="42"/>
        <v>0</v>
      </c>
      <c r="AX28" s="108">
        <f t="shared" si="34"/>
        <v>0</v>
      </c>
      <c r="AY28" s="108">
        <f t="shared" si="34"/>
        <v>0</v>
      </c>
      <c r="AZ28" s="108">
        <f t="shared" si="34"/>
        <v>0</v>
      </c>
      <c r="BA28" s="108">
        <f t="shared" si="34"/>
        <v>0</v>
      </c>
      <c r="BB28" s="108">
        <f t="shared" si="34"/>
        <v>0</v>
      </c>
      <c r="BC28" s="108">
        <f t="shared" si="34"/>
        <v>0</v>
      </c>
      <c r="BD28" s="108">
        <f t="shared" si="34"/>
        <v>0</v>
      </c>
      <c r="BE28" s="108">
        <f t="shared" si="34"/>
        <v>0</v>
      </c>
      <c r="BF28" s="108">
        <f t="shared" si="34"/>
        <v>0</v>
      </c>
      <c r="BG28" s="108">
        <f t="shared" si="34"/>
        <v>0</v>
      </c>
      <c r="BH28" s="108">
        <f t="shared" si="34"/>
        <v>0</v>
      </c>
    </row>
    <row r="29" spans="1:60" ht="18.75" hidden="1" customHeight="1">
      <c r="A29" s="129" t="s">
        <v>121</v>
      </c>
      <c r="B29" s="173"/>
      <c r="C29" s="173"/>
      <c r="D29" s="130">
        <f t="shared" si="14"/>
        <v>0</v>
      </c>
      <c r="E29" s="131" t="e">
        <f t="shared" si="15"/>
        <v>#N/A</v>
      </c>
      <c r="F29" s="153">
        <f t="shared" si="35"/>
        <v>0</v>
      </c>
      <c r="G29" s="130">
        <f t="shared" si="16"/>
        <v>0</v>
      </c>
      <c r="H29" s="131" t="e">
        <f t="shared" si="17"/>
        <v>#N/A</v>
      </c>
      <c r="I29" s="153">
        <f t="shared" si="36"/>
        <v>0</v>
      </c>
      <c r="J29" s="130">
        <f t="shared" si="18"/>
        <v>0</v>
      </c>
      <c r="K29" s="131" t="e">
        <f t="shared" si="19"/>
        <v>#N/A</v>
      </c>
      <c r="L29" s="153">
        <f t="shared" si="37"/>
        <v>0</v>
      </c>
      <c r="M29" s="133">
        <f t="shared" si="43"/>
        <v>0</v>
      </c>
      <c r="N29" s="133" t="e">
        <f t="shared" si="44"/>
        <v>#N/A</v>
      </c>
      <c r="O29" s="133">
        <f t="shared" si="45"/>
        <v>0</v>
      </c>
      <c r="P29" s="133" t="e">
        <f t="shared" si="46"/>
        <v>#N/A</v>
      </c>
      <c r="Q29" s="134" t="e">
        <f t="shared" si="47"/>
        <v>#N/A</v>
      </c>
      <c r="R29" s="134" t="e">
        <f t="shared" si="48"/>
        <v>#N/A</v>
      </c>
      <c r="S29" s="134"/>
      <c r="T29" s="134"/>
      <c r="W29" s="108">
        <f t="shared" si="41"/>
        <v>0</v>
      </c>
      <c r="X29" s="108">
        <f t="shared" si="21"/>
        <v>0</v>
      </c>
      <c r="Y29" s="108">
        <f t="shared" si="22"/>
        <v>0</v>
      </c>
      <c r="Z29" s="108">
        <f t="shared" si="23"/>
        <v>0</v>
      </c>
      <c r="AA29" s="108">
        <f t="shared" si="24"/>
        <v>0</v>
      </c>
      <c r="AB29" s="108">
        <f t="shared" si="25"/>
        <v>0</v>
      </c>
      <c r="AC29" s="108">
        <f t="shared" si="26"/>
        <v>0</v>
      </c>
      <c r="AD29" s="108">
        <f t="shared" si="27"/>
        <v>0</v>
      </c>
      <c r="AE29" s="108">
        <f t="shared" si="28"/>
        <v>0</v>
      </c>
      <c r="AF29" s="108">
        <f t="shared" si="29"/>
        <v>0</v>
      </c>
      <c r="AG29" s="108">
        <f t="shared" si="30"/>
        <v>0</v>
      </c>
      <c r="AH29" s="108">
        <f t="shared" si="31"/>
        <v>0</v>
      </c>
      <c r="AJ29" s="108">
        <f t="shared" si="32"/>
        <v>0</v>
      </c>
      <c r="AK29" s="108">
        <f t="shared" si="33"/>
        <v>0</v>
      </c>
      <c r="AL29" s="108">
        <f t="shared" si="33"/>
        <v>0</v>
      </c>
      <c r="AM29" s="108">
        <f t="shared" si="33"/>
        <v>0</v>
      </c>
      <c r="AN29" s="108">
        <f t="shared" si="33"/>
        <v>0</v>
      </c>
      <c r="AO29" s="108">
        <f t="shared" si="33"/>
        <v>0</v>
      </c>
      <c r="AP29" s="108">
        <f t="shared" si="33"/>
        <v>0</v>
      </c>
      <c r="AQ29" s="108">
        <f t="shared" si="33"/>
        <v>0</v>
      </c>
      <c r="AR29" s="108">
        <f t="shared" si="33"/>
        <v>0</v>
      </c>
      <c r="AS29" s="108">
        <f t="shared" si="33"/>
        <v>0</v>
      </c>
      <c r="AT29" s="108">
        <f t="shared" si="33"/>
        <v>0</v>
      </c>
      <c r="AU29" s="108">
        <f t="shared" si="33"/>
        <v>0</v>
      </c>
      <c r="AW29" s="108">
        <f t="shared" si="42"/>
        <v>0</v>
      </c>
      <c r="AX29" s="108">
        <f t="shared" si="34"/>
        <v>0</v>
      </c>
      <c r="AY29" s="108">
        <f t="shared" si="34"/>
        <v>0</v>
      </c>
      <c r="AZ29" s="108">
        <f t="shared" si="34"/>
        <v>0</v>
      </c>
      <c r="BA29" s="108">
        <f t="shared" si="34"/>
        <v>0</v>
      </c>
      <c r="BB29" s="108">
        <f t="shared" si="34"/>
        <v>0</v>
      </c>
      <c r="BC29" s="108">
        <f t="shared" si="34"/>
        <v>0</v>
      </c>
      <c r="BD29" s="108">
        <f t="shared" si="34"/>
        <v>0</v>
      </c>
      <c r="BE29" s="108">
        <f t="shared" si="34"/>
        <v>0</v>
      </c>
      <c r="BF29" s="108">
        <f t="shared" si="34"/>
        <v>0</v>
      </c>
      <c r="BG29" s="108">
        <f t="shared" si="34"/>
        <v>0</v>
      </c>
      <c r="BH29" s="108">
        <f t="shared" si="34"/>
        <v>0</v>
      </c>
    </row>
    <row r="30" spans="1:60" ht="18.75" hidden="1" customHeight="1">
      <c r="A30" s="129" t="s">
        <v>92</v>
      </c>
      <c r="B30" s="173"/>
      <c r="C30" s="173"/>
      <c r="D30" s="130">
        <f t="shared" si="14"/>
        <v>0</v>
      </c>
      <c r="E30" s="131" t="e">
        <f t="shared" si="15"/>
        <v>#N/A</v>
      </c>
      <c r="F30" s="153">
        <f t="shared" si="35"/>
        <v>0</v>
      </c>
      <c r="G30" s="130">
        <f t="shared" si="16"/>
        <v>0</v>
      </c>
      <c r="H30" s="131" t="e">
        <f t="shared" si="17"/>
        <v>#N/A</v>
      </c>
      <c r="I30" s="153">
        <f t="shared" si="36"/>
        <v>0</v>
      </c>
      <c r="J30" s="130">
        <f t="shared" si="18"/>
        <v>0</v>
      </c>
      <c r="K30" s="131" t="e">
        <f t="shared" si="19"/>
        <v>#N/A</v>
      </c>
      <c r="L30" s="153">
        <f t="shared" si="37"/>
        <v>0</v>
      </c>
      <c r="M30" s="133">
        <f t="shared" si="43"/>
        <v>0</v>
      </c>
      <c r="N30" s="133" t="e">
        <f t="shared" si="44"/>
        <v>#N/A</v>
      </c>
      <c r="O30" s="133">
        <f t="shared" si="45"/>
        <v>0</v>
      </c>
      <c r="P30" s="133" t="e">
        <f t="shared" si="46"/>
        <v>#N/A</v>
      </c>
      <c r="Q30" s="134" t="e">
        <f t="shared" si="47"/>
        <v>#N/A</v>
      </c>
      <c r="R30" s="134" t="e">
        <f t="shared" si="48"/>
        <v>#N/A</v>
      </c>
      <c r="S30" s="134"/>
      <c r="T30" s="134"/>
      <c r="W30" s="108">
        <f t="shared" si="41"/>
        <v>0</v>
      </c>
      <c r="X30" s="108">
        <f t="shared" si="21"/>
        <v>0</v>
      </c>
      <c r="Y30" s="108">
        <f t="shared" si="22"/>
        <v>0</v>
      </c>
      <c r="Z30" s="108">
        <f t="shared" si="23"/>
        <v>0</v>
      </c>
      <c r="AA30" s="108">
        <f t="shared" si="24"/>
        <v>0</v>
      </c>
      <c r="AB30" s="108">
        <f t="shared" si="25"/>
        <v>0</v>
      </c>
      <c r="AC30" s="108">
        <f t="shared" si="26"/>
        <v>0</v>
      </c>
      <c r="AD30" s="108">
        <f t="shared" si="27"/>
        <v>0</v>
      </c>
      <c r="AE30" s="108">
        <f t="shared" si="28"/>
        <v>0</v>
      </c>
      <c r="AF30" s="108">
        <f t="shared" si="29"/>
        <v>0</v>
      </c>
      <c r="AG30" s="108">
        <f t="shared" si="30"/>
        <v>0</v>
      </c>
      <c r="AH30" s="108">
        <f t="shared" si="31"/>
        <v>0</v>
      </c>
      <c r="AJ30" s="108">
        <f t="shared" si="32"/>
        <v>0</v>
      </c>
      <c r="AK30" s="108">
        <f t="shared" si="33"/>
        <v>0</v>
      </c>
      <c r="AL30" s="108">
        <f t="shared" si="33"/>
        <v>0</v>
      </c>
      <c r="AM30" s="108">
        <f t="shared" si="33"/>
        <v>0</v>
      </c>
      <c r="AN30" s="108">
        <f t="shared" si="33"/>
        <v>0</v>
      </c>
      <c r="AO30" s="108">
        <f t="shared" si="33"/>
        <v>0</v>
      </c>
      <c r="AP30" s="108">
        <f t="shared" si="33"/>
        <v>0</v>
      </c>
      <c r="AQ30" s="108">
        <f t="shared" si="33"/>
        <v>0</v>
      </c>
      <c r="AR30" s="108">
        <f t="shared" si="33"/>
        <v>0</v>
      </c>
      <c r="AS30" s="108">
        <f t="shared" si="33"/>
        <v>0</v>
      </c>
      <c r="AT30" s="108">
        <f t="shared" si="33"/>
        <v>0</v>
      </c>
      <c r="AU30" s="108">
        <f t="shared" si="33"/>
        <v>0</v>
      </c>
      <c r="AW30" s="108">
        <f t="shared" si="42"/>
        <v>0</v>
      </c>
      <c r="AX30" s="108">
        <f t="shared" si="34"/>
        <v>0</v>
      </c>
      <c r="AY30" s="108">
        <f t="shared" si="34"/>
        <v>0</v>
      </c>
      <c r="AZ30" s="108">
        <f t="shared" si="34"/>
        <v>0</v>
      </c>
      <c r="BA30" s="108">
        <f t="shared" si="34"/>
        <v>0</v>
      </c>
      <c r="BB30" s="108">
        <f t="shared" si="34"/>
        <v>0</v>
      </c>
      <c r="BC30" s="108">
        <f t="shared" si="34"/>
        <v>0</v>
      </c>
      <c r="BD30" s="108">
        <f t="shared" si="34"/>
        <v>0</v>
      </c>
      <c r="BE30" s="108">
        <f t="shared" si="34"/>
        <v>0</v>
      </c>
      <c r="BF30" s="108">
        <f t="shared" si="34"/>
        <v>0</v>
      </c>
      <c r="BG30" s="108">
        <f t="shared" si="34"/>
        <v>0</v>
      </c>
      <c r="BH30" s="108">
        <f t="shared" si="34"/>
        <v>0</v>
      </c>
    </row>
    <row r="31" spans="1:60" ht="18.75" hidden="1" customHeight="1">
      <c r="A31" s="129" t="s">
        <v>93</v>
      </c>
      <c r="B31" s="173"/>
      <c r="C31" s="173"/>
      <c r="D31" s="130">
        <f t="shared" si="14"/>
        <v>0</v>
      </c>
      <c r="E31" s="131" t="e">
        <f t="shared" si="15"/>
        <v>#N/A</v>
      </c>
      <c r="F31" s="153">
        <f t="shared" si="35"/>
        <v>0</v>
      </c>
      <c r="G31" s="130">
        <f t="shared" si="16"/>
        <v>0</v>
      </c>
      <c r="H31" s="131" t="e">
        <f t="shared" si="17"/>
        <v>#N/A</v>
      </c>
      <c r="I31" s="153">
        <f t="shared" si="36"/>
        <v>0</v>
      </c>
      <c r="J31" s="130">
        <f t="shared" si="18"/>
        <v>0</v>
      </c>
      <c r="K31" s="131" t="e">
        <f t="shared" si="19"/>
        <v>#N/A</v>
      </c>
      <c r="L31" s="153">
        <f t="shared" si="37"/>
        <v>0</v>
      </c>
      <c r="M31" s="133">
        <f t="shared" si="43"/>
        <v>0</v>
      </c>
      <c r="N31" s="133" t="e">
        <f t="shared" si="44"/>
        <v>#N/A</v>
      </c>
      <c r="O31" s="133">
        <f t="shared" si="45"/>
        <v>0</v>
      </c>
      <c r="P31" s="133" t="e">
        <f t="shared" si="46"/>
        <v>#N/A</v>
      </c>
      <c r="Q31" s="134" t="e">
        <f t="shared" si="47"/>
        <v>#N/A</v>
      </c>
      <c r="R31" s="134" t="e">
        <f t="shared" si="48"/>
        <v>#N/A</v>
      </c>
      <c r="S31" s="134"/>
      <c r="T31" s="134"/>
      <c r="W31" s="108">
        <f t="shared" si="41"/>
        <v>0</v>
      </c>
      <c r="X31" s="108">
        <f t="shared" si="21"/>
        <v>0</v>
      </c>
      <c r="Y31" s="108">
        <f t="shared" si="22"/>
        <v>0</v>
      </c>
      <c r="Z31" s="108">
        <f t="shared" si="23"/>
        <v>0</v>
      </c>
      <c r="AA31" s="108">
        <f t="shared" si="24"/>
        <v>0</v>
      </c>
      <c r="AB31" s="108">
        <f t="shared" si="25"/>
        <v>0</v>
      </c>
      <c r="AC31" s="108">
        <f t="shared" si="26"/>
        <v>0</v>
      </c>
      <c r="AD31" s="108">
        <f t="shared" si="27"/>
        <v>0</v>
      </c>
      <c r="AE31" s="108">
        <f t="shared" si="28"/>
        <v>0</v>
      </c>
      <c r="AF31" s="108">
        <f t="shared" si="29"/>
        <v>0</v>
      </c>
      <c r="AG31" s="108">
        <f t="shared" si="30"/>
        <v>0</v>
      </c>
      <c r="AH31" s="108">
        <f t="shared" si="31"/>
        <v>0</v>
      </c>
      <c r="AJ31" s="108">
        <f t="shared" si="32"/>
        <v>0</v>
      </c>
      <c r="AK31" s="108">
        <f t="shared" si="33"/>
        <v>0</v>
      </c>
      <c r="AL31" s="108">
        <f t="shared" si="33"/>
        <v>0</v>
      </c>
      <c r="AM31" s="108">
        <f t="shared" si="33"/>
        <v>0</v>
      </c>
      <c r="AN31" s="108">
        <f t="shared" si="33"/>
        <v>0</v>
      </c>
      <c r="AO31" s="108">
        <f t="shared" si="33"/>
        <v>0</v>
      </c>
      <c r="AP31" s="108">
        <f t="shared" si="33"/>
        <v>0</v>
      </c>
      <c r="AQ31" s="108">
        <f t="shared" si="33"/>
        <v>0</v>
      </c>
      <c r="AR31" s="108">
        <f t="shared" si="33"/>
        <v>0</v>
      </c>
      <c r="AS31" s="108">
        <f t="shared" si="33"/>
        <v>0</v>
      </c>
      <c r="AT31" s="108">
        <f t="shared" si="33"/>
        <v>0</v>
      </c>
      <c r="AU31" s="108">
        <f t="shared" si="33"/>
        <v>0</v>
      </c>
      <c r="AW31" s="108">
        <f t="shared" si="42"/>
        <v>0</v>
      </c>
      <c r="AX31" s="108">
        <f t="shared" si="34"/>
        <v>0</v>
      </c>
      <c r="AY31" s="108">
        <f t="shared" si="34"/>
        <v>0</v>
      </c>
      <c r="AZ31" s="108">
        <f t="shared" si="34"/>
        <v>0</v>
      </c>
      <c r="BA31" s="108">
        <f t="shared" si="34"/>
        <v>0</v>
      </c>
      <c r="BB31" s="108">
        <f t="shared" si="34"/>
        <v>0</v>
      </c>
      <c r="BC31" s="108">
        <f t="shared" si="34"/>
        <v>0</v>
      </c>
      <c r="BD31" s="108">
        <f t="shared" si="34"/>
        <v>0</v>
      </c>
      <c r="BE31" s="108">
        <f t="shared" si="34"/>
        <v>0</v>
      </c>
      <c r="BF31" s="108">
        <f t="shared" si="34"/>
        <v>0</v>
      </c>
      <c r="BG31" s="108">
        <f t="shared" si="34"/>
        <v>0</v>
      </c>
      <c r="BH31" s="108">
        <f t="shared" si="34"/>
        <v>0</v>
      </c>
    </row>
    <row r="32" spans="1:60" ht="18.75" hidden="1" customHeight="1">
      <c r="A32" s="129" t="s">
        <v>94</v>
      </c>
      <c r="B32" s="173"/>
      <c r="C32" s="173"/>
      <c r="D32" s="130">
        <f t="shared" si="14"/>
        <v>0</v>
      </c>
      <c r="E32" s="131" t="e">
        <f t="shared" si="15"/>
        <v>#N/A</v>
      </c>
      <c r="F32" s="153">
        <f>SUM(W32:AH32)</f>
        <v>0</v>
      </c>
      <c r="G32" s="130">
        <f t="shared" si="16"/>
        <v>0</v>
      </c>
      <c r="H32" s="131" t="e">
        <f t="shared" si="17"/>
        <v>#N/A</v>
      </c>
      <c r="I32" s="153">
        <f t="shared" si="36"/>
        <v>0</v>
      </c>
      <c r="J32" s="130">
        <f t="shared" si="18"/>
        <v>0</v>
      </c>
      <c r="K32" s="131" t="e">
        <f t="shared" si="19"/>
        <v>#N/A</v>
      </c>
      <c r="L32" s="153">
        <f t="shared" si="37"/>
        <v>0</v>
      </c>
      <c r="M32" s="133">
        <f>D32+G32+J32</f>
        <v>0</v>
      </c>
      <c r="N32" s="133" t="e">
        <f t="shared" si="20"/>
        <v>#N/A</v>
      </c>
      <c r="O32" s="133">
        <f t="shared" si="20"/>
        <v>0</v>
      </c>
      <c r="P32" s="133" t="e">
        <f t="shared" si="38"/>
        <v>#N/A</v>
      </c>
      <c r="Q32" s="134" t="e">
        <f t="shared" si="39"/>
        <v>#N/A</v>
      </c>
      <c r="R32" s="134" t="e">
        <f t="shared" si="40"/>
        <v>#N/A</v>
      </c>
      <c r="S32" s="134"/>
      <c r="T32" s="134"/>
      <c r="W32" s="108">
        <f t="shared" si="41"/>
        <v>0</v>
      </c>
      <c r="X32" s="108">
        <f t="shared" si="21"/>
        <v>0</v>
      </c>
      <c r="Y32" s="108">
        <f t="shared" si="22"/>
        <v>0</v>
      </c>
      <c r="Z32" s="108">
        <f t="shared" si="23"/>
        <v>0</v>
      </c>
      <c r="AA32" s="108">
        <f t="shared" si="24"/>
        <v>0</v>
      </c>
      <c r="AB32" s="108">
        <f t="shared" si="25"/>
        <v>0</v>
      </c>
      <c r="AC32" s="108">
        <f t="shared" si="26"/>
        <v>0</v>
      </c>
      <c r="AD32" s="108">
        <f t="shared" si="27"/>
        <v>0</v>
      </c>
      <c r="AE32" s="108">
        <f t="shared" si="28"/>
        <v>0</v>
      </c>
      <c r="AF32" s="108">
        <f t="shared" si="29"/>
        <v>0</v>
      </c>
      <c r="AG32" s="108">
        <f t="shared" si="30"/>
        <v>0</v>
      </c>
      <c r="AH32" s="108">
        <f t="shared" si="31"/>
        <v>0</v>
      </c>
      <c r="AJ32" s="108">
        <f t="shared" si="32"/>
        <v>0</v>
      </c>
      <c r="AK32" s="108">
        <f t="shared" si="33"/>
        <v>0</v>
      </c>
      <c r="AL32" s="108">
        <f t="shared" si="33"/>
        <v>0</v>
      </c>
      <c r="AM32" s="108">
        <f t="shared" si="33"/>
        <v>0</v>
      </c>
      <c r="AN32" s="108">
        <f t="shared" si="33"/>
        <v>0</v>
      </c>
      <c r="AO32" s="108">
        <f t="shared" si="33"/>
        <v>0</v>
      </c>
      <c r="AP32" s="108">
        <f t="shared" si="33"/>
        <v>0</v>
      </c>
      <c r="AQ32" s="108">
        <f t="shared" si="33"/>
        <v>0</v>
      </c>
      <c r="AR32" s="108">
        <f t="shared" si="33"/>
        <v>0</v>
      </c>
      <c r="AS32" s="108">
        <f t="shared" si="33"/>
        <v>0</v>
      </c>
      <c r="AT32" s="108">
        <f t="shared" si="33"/>
        <v>0</v>
      </c>
      <c r="AU32" s="108">
        <f t="shared" si="33"/>
        <v>0</v>
      </c>
      <c r="AW32" s="108">
        <f t="shared" si="42"/>
        <v>0</v>
      </c>
      <c r="AX32" s="108">
        <f t="shared" si="34"/>
        <v>0</v>
      </c>
      <c r="AY32" s="108">
        <f t="shared" si="34"/>
        <v>0</v>
      </c>
      <c r="AZ32" s="108">
        <f t="shared" si="34"/>
        <v>0</v>
      </c>
      <c r="BA32" s="108">
        <f t="shared" si="34"/>
        <v>0</v>
      </c>
      <c r="BB32" s="108">
        <f t="shared" si="34"/>
        <v>0</v>
      </c>
      <c r="BC32" s="108">
        <f t="shared" si="34"/>
        <v>0</v>
      </c>
      <c r="BD32" s="108">
        <f t="shared" si="34"/>
        <v>0</v>
      </c>
      <c r="BE32" s="108">
        <f t="shared" si="34"/>
        <v>0</v>
      </c>
      <c r="BF32" s="108">
        <f t="shared" si="34"/>
        <v>0</v>
      </c>
      <c r="BG32" s="108">
        <f t="shared" si="34"/>
        <v>0</v>
      </c>
      <c r="BH32" s="108">
        <f t="shared" si="34"/>
        <v>0</v>
      </c>
    </row>
    <row r="33" spans="1:60" ht="18.75" hidden="1" customHeight="1">
      <c r="A33" s="129" t="s">
        <v>95</v>
      </c>
      <c r="B33" s="173"/>
      <c r="C33" s="173"/>
      <c r="D33" s="130">
        <f t="shared" si="14"/>
        <v>0</v>
      </c>
      <c r="E33" s="131" t="e">
        <f t="shared" si="15"/>
        <v>#N/A</v>
      </c>
      <c r="F33" s="153">
        <f t="shared" si="35"/>
        <v>0</v>
      </c>
      <c r="G33" s="130">
        <f t="shared" si="16"/>
        <v>0</v>
      </c>
      <c r="H33" s="131" t="e">
        <f t="shared" si="17"/>
        <v>#N/A</v>
      </c>
      <c r="I33" s="153">
        <f t="shared" si="36"/>
        <v>0</v>
      </c>
      <c r="J33" s="130">
        <f t="shared" si="18"/>
        <v>0</v>
      </c>
      <c r="K33" s="131" t="e">
        <f t="shared" si="19"/>
        <v>#N/A</v>
      </c>
      <c r="L33" s="153">
        <f t="shared" si="37"/>
        <v>0</v>
      </c>
      <c r="M33" s="133">
        <f t="shared" ref="M33:M34" si="49">D33+G33+J33</f>
        <v>0</v>
      </c>
      <c r="N33" s="133" t="e">
        <f t="shared" ref="N33" si="50">E33+H33+K33</f>
        <v>#N/A</v>
      </c>
      <c r="O33" s="133">
        <f t="shared" ref="O33:O34" si="51">F33+I33+L33</f>
        <v>0</v>
      </c>
      <c r="P33" s="133" t="e">
        <f t="shared" si="38"/>
        <v>#N/A</v>
      </c>
      <c r="Q33" s="134" t="e">
        <f t="shared" si="39"/>
        <v>#N/A</v>
      </c>
      <c r="R33" s="134" t="e">
        <f t="shared" si="40"/>
        <v>#N/A</v>
      </c>
      <c r="S33" s="134"/>
      <c r="T33" s="134"/>
      <c r="W33" s="108">
        <f t="shared" si="41"/>
        <v>0</v>
      </c>
      <c r="X33" s="108">
        <f t="shared" si="21"/>
        <v>0</v>
      </c>
      <c r="Y33" s="108">
        <f t="shared" si="22"/>
        <v>0</v>
      </c>
      <c r="Z33" s="108">
        <f t="shared" si="23"/>
        <v>0</v>
      </c>
      <c r="AA33" s="108">
        <f t="shared" si="24"/>
        <v>0</v>
      </c>
      <c r="AB33" s="108">
        <f t="shared" si="25"/>
        <v>0</v>
      </c>
      <c r="AC33" s="108">
        <f t="shared" si="26"/>
        <v>0</v>
      </c>
      <c r="AD33" s="108">
        <f t="shared" si="27"/>
        <v>0</v>
      </c>
      <c r="AE33" s="108">
        <f t="shared" si="28"/>
        <v>0</v>
      </c>
      <c r="AF33" s="108">
        <f t="shared" si="29"/>
        <v>0</v>
      </c>
      <c r="AG33" s="108">
        <f t="shared" si="30"/>
        <v>0</v>
      </c>
      <c r="AH33" s="108">
        <f t="shared" si="31"/>
        <v>0</v>
      </c>
      <c r="AJ33" s="108">
        <f t="shared" si="32"/>
        <v>0</v>
      </c>
      <c r="AK33" s="108">
        <f t="shared" si="33"/>
        <v>0</v>
      </c>
      <c r="AL33" s="108">
        <f t="shared" si="33"/>
        <v>0</v>
      </c>
      <c r="AM33" s="108">
        <f t="shared" si="33"/>
        <v>0</v>
      </c>
      <c r="AN33" s="108">
        <f t="shared" si="33"/>
        <v>0</v>
      </c>
      <c r="AO33" s="108">
        <f t="shared" si="33"/>
        <v>0</v>
      </c>
      <c r="AP33" s="108">
        <f t="shared" si="33"/>
        <v>0</v>
      </c>
      <c r="AQ33" s="108">
        <f t="shared" si="33"/>
        <v>0</v>
      </c>
      <c r="AR33" s="108">
        <f t="shared" si="33"/>
        <v>0</v>
      </c>
      <c r="AS33" s="108">
        <f t="shared" si="33"/>
        <v>0</v>
      </c>
      <c r="AT33" s="108">
        <f t="shared" si="33"/>
        <v>0</v>
      </c>
      <c r="AU33" s="108">
        <f t="shared" si="33"/>
        <v>0</v>
      </c>
      <c r="AW33" s="108">
        <f t="shared" si="42"/>
        <v>0</v>
      </c>
      <c r="AX33" s="108">
        <f t="shared" si="34"/>
        <v>0</v>
      </c>
      <c r="AY33" s="108">
        <f t="shared" si="34"/>
        <v>0</v>
      </c>
      <c r="AZ33" s="108">
        <f t="shared" si="34"/>
        <v>0</v>
      </c>
      <c r="BA33" s="108">
        <f t="shared" si="34"/>
        <v>0</v>
      </c>
      <c r="BB33" s="108">
        <f t="shared" si="34"/>
        <v>0</v>
      </c>
      <c r="BC33" s="108">
        <f t="shared" si="34"/>
        <v>0</v>
      </c>
      <c r="BD33" s="108">
        <f t="shared" si="34"/>
        <v>0</v>
      </c>
      <c r="BE33" s="108">
        <f t="shared" si="34"/>
        <v>0</v>
      </c>
      <c r="BF33" s="108">
        <f t="shared" si="34"/>
        <v>0</v>
      </c>
      <c r="BG33" s="108">
        <f t="shared" si="34"/>
        <v>0</v>
      </c>
      <c r="BH33" s="108">
        <f t="shared" si="34"/>
        <v>0</v>
      </c>
    </row>
    <row r="34" spans="1:60" ht="18.75" hidden="1" customHeight="1" thickBot="1">
      <c r="A34" s="129" t="s">
        <v>96</v>
      </c>
      <c r="B34" s="173"/>
      <c r="C34" s="173"/>
      <c r="D34" s="130">
        <f>ROUNDDOWN(ROUNDDOWN(D15*$I$69,0)*($U15/12),0)</f>
        <v>0</v>
      </c>
      <c r="E34" s="131" t="e">
        <f t="shared" si="15"/>
        <v>#N/A</v>
      </c>
      <c r="F34" s="153">
        <f t="shared" si="35"/>
        <v>0</v>
      </c>
      <c r="G34" s="130">
        <f>ROUNDDOWN(ROUNDDOWN(D15*$J$69,0)*($U15/12),0)</f>
        <v>0</v>
      </c>
      <c r="H34" s="131" t="e">
        <f t="shared" si="17"/>
        <v>#N/A</v>
      </c>
      <c r="I34" s="153">
        <f t="shared" si="36"/>
        <v>0</v>
      </c>
      <c r="J34" s="130">
        <f>ROUNDDOWN(ROUNDDOWN(D15*$K$69,0)*($V15/12),0)</f>
        <v>0</v>
      </c>
      <c r="K34" s="131" t="e">
        <f t="shared" si="19"/>
        <v>#N/A</v>
      </c>
      <c r="L34" s="153">
        <f t="shared" si="37"/>
        <v>0</v>
      </c>
      <c r="M34" s="135">
        <f t="shared" si="49"/>
        <v>0</v>
      </c>
      <c r="N34" s="135" t="e">
        <f>E34+H34+K34</f>
        <v>#N/A</v>
      </c>
      <c r="O34" s="135">
        <f t="shared" si="51"/>
        <v>0</v>
      </c>
      <c r="P34" s="135" t="e">
        <f t="shared" si="38"/>
        <v>#N/A</v>
      </c>
      <c r="Q34" s="134" t="e">
        <f t="shared" si="39"/>
        <v>#N/A</v>
      </c>
      <c r="R34" s="134" t="e">
        <f t="shared" si="40"/>
        <v>#N/A</v>
      </c>
      <c r="S34" s="134"/>
      <c r="T34" s="134"/>
      <c r="W34" s="108">
        <f>IF(OR(E15=$U$3,E15=$U$4),ROUNDDOWN(ROUNDDOWN($I$71/12*W$20,0)/E$16,0),0)</f>
        <v>0</v>
      </c>
      <c r="X34" s="108">
        <f>IF(OR(F15=$U$3,F15=$U$4),ROUNDDOWN(ROUNDDOWN($I$71/12*X$20,0)/F$16,0),0)</f>
        <v>0</v>
      </c>
      <c r="Y34" s="108">
        <f t="shared" si="22"/>
        <v>0</v>
      </c>
      <c r="Z34" s="108">
        <f t="shared" si="23"/>
        <v>0</v>
      </c>
      <c r="AA34" s="108">
        <f t="shared" si="24"/>
        <v>0</v>
      </c>
      <c r="AB34" s="108">
        <f t="shared" si="25"/>
        <v>0</v>
      </c>
      <c r="AC34" s="108">
        <f t="shared" si="26"/>
        <v>0</v>
      </c>
      <c r="AD34" s="108">
        <f t="shared" si="27"/>
        <v>0</v>
      </c>
      <c r="AE34" s="108">
        <f t="shared" si="28"/>
        <v>0</v>
      </c>
      <c r="AF34" s="108">
        <f t="shared" si="29"/>
        <v>0</v>
      </c>
      <c r="AG34" s="108">
        <f t="shared" si="30"/>
        <v>0</v>
      </c>
      <c r="AH34" s="108">
        <f t="shared" si="31"/>
        <v>0</v>
      </c>
      <c r="AJ34" s="108">
        <f>IF(OR(E15=$U$3,E15=$U$4),ROUNDDOWN(ROUNDDOWN($J$71/12*W$20,0)/E$16,0),0)</f>
        <v>0</v>
      </c>
      <c r="AK34" s="108">
        <f>IF(OR(F15=$U$3,F15=$U$4),ROUNDDOWN(ROUNDDOWN($J$71/12*X$20,0)/F$16,0),0)</f>
        <v>0</v>
      </c>
      <c r="AL34" s="108">
        <f t="shared" si="33"/>
        <v>0</v>
      </c>
      <c r="AM34" s="108">
        <f t="shared" si="33"/>
        <v>0</v>
      </c>
      <c r="AN34" s="108">
        <f t="shared" si="33"/>
        <v>0</v>
      </c>
      <c r="AO34" s="108">
        <f t="shared" si="33"/>
        <v>0</v>
      </c>
      <c r="AP34" s="108">
        <f t="shared" si="33"/>
        <v>0</v>
      </c>
      <c r="AQ34" s="108">
        <f t="shared" si="33"/>
        <v>0</v>
      </c>
      <c r="AR34" s="108">
        <f t="shared" si="33"/>
        <v>0</v>
      </c>
      <c r="AS34" s="108">
        <f t="shared" si="33"/>
        <v>0</v>
      </c>
      <c r="AT34" s="108">
        <f t="shared" si="33"/>
        <v>0</v>
      </c>
      <c r="AU34" s="108">
        <f t="shared" si="33"/>
        <v>0</v>
      </c>
      <c r="AW34" s="108">
        <f>IF(E15=$U$4,ROUNDDOWN(ROUNDDOWN($K$71/12,0)/E$17,0),0)</f>
        <v>0</v>
      </c>
      <c r="AX34" s="108">
        <f>IF(F15=$U$4,ROUNDDOWN(ROUNDDOWN($K$71/12,0)/F$17,0),0)</f>
        <v>0</v>
      </c>
      <c r="AY34" s="108">
        <f t="shared" si="34"/>
        <v>0</v>
      </c>
      <c r="AZ34" s="108">
        <f t="shared" si="34"/>
        <v>0</v>
      </c>
      <c r="BA34" s="108">
        <f t="shared" si="34"/>
        <v>0</v>
      </c>
      <c r="BB34" s="108">
        <f t="shared" si="34"/>
        <v>0</v>
      </c>
      <c r="BC34" s="108">
        <f t="shared" si="34"/>
        <v>0</v>
      </c>
      <c r="BD34" s="108">
        <f t="shared" si="34"/>
        <v>0</v>
      </c>
      <c r="BE34" s="108">
        <f t="shared" si="34"/>
        <v>0</v>
      </c>
      <c r="BF34" s="108">
        <f t="shared" si="34"/>
        <v>0</v>
      </c>
      <c r="BG34" s="108">
        <f t="shared" si="34"/>
        <v>0</v>
      </c>
      <c r="BH34" s="108">
        <f t="shared" si="34"/>
        <v>0</v>
      </c>
    </row>
    <row r="35" spans="1:60" ht="18.75" hidden="1" customHeight="1" thickTop="1">
      <c r="A35" s="115" t="s">
        <v>52</v>
      </c>
      <c r="B35" s="174"/>
      <c r="C35" s="174"/>
      <c r="D35" s="130">
        <f>SUM(D26:D34)</f>
        <v>0</v>
      </c>
      <c r="E35" s="130" t="e">
        <f>SUM(E26:E34)</f>
        <v>#N/A</v>
      </c>
      <c r="F35" s="130">
        <f>SUM(F26:F34)</f>
        <v>0</v>
      </c>
      <c r="G35" s="130">
        <f t="shared" ref="G35:L35" si="52">SUM(G26:G34)</f>
        <v>0</v>
      </c>
      <c r="H35" s="130" t="e">
        <f t="shared" si="52"/>
        <v>#N/A</v>
      </c>
      <c r="I35" s="130">
        <f>SUM(I26:I34)</f>
        <v>0</v>
      </c>
      <c r="J35" s="130">
        <f t="shared" si="52"/>
        <v>0</v>
      </c>
      <c r="K35" s="130" t="e">
        <f t="shared" si="52"/>
        <v>#N/A</v>
      </c>
      <c r="L35" s="130">
        <f t="shared" si="52"/>
        <v>0</v>
      </c>
      <c r="M35" s="133">
        <f>SUM(M26:M34)</f>
        <v>0</v>
      </c>
      <c r="N35" s="133" t="e">
        <f>SUM(N26:N34)</f>
        <v>#N/A</v>
      </c>
      <c r="O35" s="133">
        <f t="shared" ref="O35:P35" si="53">SUM(O26:O34)</f>
        <v>0</v>
      </c>
      <c r="P35" s="133" t="e">
        <f t="shared" si="53"/>
        <v>#N/A</v>
      </c>
      <c r="Q35" s="134" t="e">
        <f>SUM(Q26:Q34)</f>
        <v>#N/A</v>
      </c>
      <c r="R35" s="134" t="e">
        <f>SUM(R26:R34)</f>
        <v>#N/A</v>
      </c>
      <c r="S35" s="134"/>
      <c r="T35" s="134"/>
    </row>
    <row r="36" spans="1:60" ht="18.75" hidden="1" customHeight="1">
      <c r="A36" s="136" t="s">
        <v>122</v>
      </c>
      <c r="B36" s="136"/>
      <c r="C36" s="136"/>
      <c r="D36" s="137">
        <f>ROUNDDOWN(SUM(月別計算!E2:E13)/12,0)</f>
        <v>0</v>
      </c>
      <c r="E36" s="137" t="e">
        <f>ROUNDDOWN(SUM(月別計算!F2:F13)/12,0)</f>
        <v>#N/A</v>
      </c>
      <c r="F36" s="137" t="e">
        <f>ROUNDDOWN(SUM(月別計算!G2:G13)/12,0)</f>
        <v>#N/A</v>
      </c>
      <c r="G36" s="137">
        <f>ROUNDDOWN(SUM(月別計算!O2:O13)/12,0)</f>
        <v>0</v>
      </c>
      <c r="H36" s="137" t="e">
        <f>ROUNDDOWN(SUM(月別計算!P2:P13)/12,0)</f>
        <v>#N/A</v>
      </c>
      <c r="I36" s="137" t="e">
        <f>ROUNDDOWN(SUM(月別計算!Q2:Q13)/12,0)</f>
        <v>#N/A</v>
      </c>
      <c r="J36" s="137">
        <f>ROUNDDOWN(SUM(月別計算!Y2:Y13)/12,0)</f>
        <v>0</v>
      </c>
      <c r="K36" s="137" t="e">
        <f>ROUNDDOWN(SUM(月別計算!Z2:Z13)/12,0)</f>
        <v>#N/A</v>
      </c>
      <c r="L36" s="137" t="e">
        <f>ROUNDDOWN(SUM(月別計算!AA2:AA13)/12,0)</f>
        <v>#N/A</v>
      </c>
      <c r="M36" s="133">
        <f>D36+G36+J36</f>
        <v>0</v>
      </c>
      <c r="N36" s="133" t="e">
        <f>E36+H36+K36</f>
        <v>#N/A</v>
      </c>
      <c r="O36" s="133" t="e">
        <f>F36+I36+L36</f>
        <v>#N/A</v>
      </c>
      <c r="P36" s="133" t="e">
        <f>SUM(M36:O36)</f>
        <v>#N/A</v>
      </c>
      <c r="Q36" s="134"/>
      <c r="R36" s="138" t="e">
        <f>R35-P40</f>
        <v>#N/A</v>
      </c>
      <c r="S36" s="134"/>
      <c r="T36" s="134"/>
    </row>
    <row r="37" spans="1:60" ht="18.75" hidden="1" customHeight="1">
      <c r="A37" s="139" t="s">
        <v>123</v>
      </c>
      <c r="B37" s="175"/>
      <c r="C37" s="175"/>
      <c r="D37" s="140">
        <f t="shared" ref="D37:L37" si="54">D36-SUM(D26:D34)</f>
        <v>0</v>
      </c>
      <c r="E37" s="140" t="e">
        <f t="shared" si="54"/>
        <v>#N/A</v>
      </c>
      <c r="F37" s="140" t="e">
        <f t="shared" si="54"/>
        <v>#N/A</v>
      </c>
      <c r="G37" s="140">
        <f t="shared" si="54"/>
        <v>0</v>
      </c>
      <c r="H37" s="140" t="e">
        <f t="shared" si="54"/>
        <v>#N/A</v>
      </c>
      <c r="I37" s="140" t="e">
        <f t="shared" si="54"/>
        <v>#N/A</v>
      </c>
      <c r="J37" s="140">
        <f t="shared" si="54"/>
        <v>0</v>
      </c>
      <c r="K37" s="140" t="e">
        <f t="shared" si="54"/>
        <v>#N/A</v>
      </c>
      <c r="L37" s="140" t="e">
        <f t="shared" si="54"/>
        <v>#N/A</v>
      </c>
      <c r="M37" s="141">
        <f>M35-M36</f>
        <v>0</v>
      </c>
      <c r="N37" s="141" t="e">
        <f>N35-N36</f>
        <v>#N/A</v>
      </c>
      <c r="O37" s="141" t="e">
        <f t="shared" ref="O37" si="55">O35-O36</f>
        <v>#N/A</v>
      </c>
      <c r="P37" s="141" t="e">
        <f>P35-P36</f>
        <v>#N/A</v>
      </c>
      <c r="Q37" s="142" t="s">
        <v>124</v>
      </c>
      <c r="R37" s="142" t="s">
        <v>125</v>
      </c>
      <c r="S37" s="142"/>
      <c r="T37" s="142"/>
    </row>
    <row r="38" spans="1:60" ht="18.75" hidden="1" customHeight="1">
      <c r="A38" s="219" t="s">
        <v>126</v>
      </c>
      <c r="B38" s="166"/>
      <c r="C38" s="166"/>
      <c r="D38" s="216" t="str">
        <f>D24</f>
        <v>医療保険分</v>
      </c>
      <c r="E38" s="216"/>
      <c r="F38" s="137" t="e">
        <f>D36+E36+F36</f>
        <v>#N/A</v>
      </c>
      <c r="G38" s="216" t="s">
        <v>127</v>
      </c>
      <c r="H38" s="216"/>
      <c r="I38" s="137" t="e">
        <f>G36+H36+I36</f>
        <v>#N/A</v>
      </c>
      <c r="J38" s="216" t="s">
        <v>128</v>
      </c>
      <c r="K38" s="216"/>
      <c r="L38" s="137" t="e">
        <f>J36+K36+L36</f>
        <v>#N/A</v>
      </c>
      <c r="M38" s="133"/>
      <c r="N38" s="133"/>
      <c r="O38" s="133"/>
      <c r="P38" s="133"/>
      <c r="Q38" s="134"/>
      <c r="R38" s="134"/>
      <c r="S38" s="134"/>
      <c r="T38" s="134"/>
    </row>
    <row r="39" spans="1:60" ht="18.75" hidden="1" customHeight="1" thickBot="1">
      <c r="A39" s="220"/>
      <c r="B39" s="167"/>
      <c r="C39" s="167"/>
      <c r="D39" s="216" t="s">
        <v>129</v>
      </c>
      <c r="E39" s="216"/>
      <c r="F39" s="137" t="e">
        <f>F38-F40</f>
        <v>#N/A</v>
      </c>
      <c r="G39" s="216" t="s">
        <v>129</v>
      </c>
      <c r="H39" s="216"/>
      <c r="I39" s="137" t="e">
        <f>I38-I40</f>
        <v>#N/A</v>
      </c>
      <c r="J39" s="216" t="s">
        <v>129</v>
      </c>
      <c r="K39" s="216"/>
      <c r="L39" s="137" t="e">
        <f>L38-L40</f>
        <v>#N/A</v>
      </c>
      <c r="N39" s="222" t="s">
        <v>130</v>
      </c>
      <c r="O39" s="222"/>
      <c r="P39" s="133" t="e">
        <f>F39+I39+L39</f>
        <v>#N/A</v>
      </c>
      <c r="Q39" s="134"/>
      <c r="R39" s="134"/>
      <c r="S39" s="134"/>
      <c r="T39" s="134"/>
    </row>
    <row r="40" spans="1:60" ht="18.75" hidden="1" customHeight="1" thickBot="1">
      <c r="A40" s="221"/>
      <c r="B40" s="168"/>
      <c r="C40" s="168"/>
      <c r="D40" s="216" t="s">
        <v>131</v>
      </c>
      <c r="E40" s="216"/>
      <c r="F40" s="137" t="e">
        <f>月別計算!I14</f>
        <v>#N/A</v>
      </c>
      <c r="G40" s="216" t="s">
        <v>132</v>
      </c>
      <c r="H40" s="216"/>
      <c r="I40" s="137" t="e">
        <f>月別計算!S14</f>
        <v>#N/A</v>
      </c>
      <c r="J40" s="216" t="s">
        <v>133</v>
      </c>
      <c r="K40" s="216"/>
      <c r="L40" s="137" t="e">
        <f>月別計算!AC14</f>
        <v>#N/A</v>
      </c>
      <c r="N40" s="223" t="s">
        <v>134</v>
      </c>
      <c r="O40" s="224"/>
      <c r="P40" s="143" t="e">
        <f>F40+I40+L40</f>
        <v>#N/A</v>
      </c>
      <c r="Q40" s="144" t="e">
        <f>D3</f>
        <v>#N/A</v>
      </c>
      <c r="R40" s="138"/>
      <c r="S40" s="138"/>
      <c r="T40" s="138"/>
    </row>
    <row r="41" spans="1:60" ht="18.75" hidden="1" customHeight="1">
      <c r="N41" s="127"/>
    </row>
    <row r="42" spans="1:60" ht="18.75" hidden="1" customHeight="1">
      <c r="J42" s="108" t="s">
        <v>135</v>
      </c>
      <c r="L42" s="108" t="s">
        <v>136</v>
      </c>
      <c r="R42" s="108" t="s">
        <v>135</v>
      </c>
      <c r="S42" s="108"/>
      <c r="T42" s="108" t="s">
        <v>136</v>
      </c>
    </row>
    <row r="43" spans="1:60" ht="18.75" hidden="1" customHeight="1" thickBot="1">
      <c r="D43" s="108" t="s">
        <v>137</v>
      </c>
      <c r="J43" s="145" t="s">
        <v>138</v>
      </c>
      <c r="L43" s="108" t="s">
        <v>118</v>
      </c>
      <c r="M43" s="108" t="s">
        <v>119</v>
      </c>
      <c r="N43" s="108" t="s">
        <v>120</v>
      </c>
      <c r="O43" s="108" t="s">
        <v>121</v>
      </c>
      <c r="P43" s="108" t="s">
        <v>92</v>
      </c>
      <c r="R43" s="145" t="s">
        <v>139</v>
      </c>
      <c r="S43" s="108"/>
      <c r="T43" s="108" t="s">
        <v>118</v>
      </c>
      <c r="U43" s="108" t="s">
        <v>119</v>
      </c>
      <c r="V43" s="108" t="s">
        <v>120</v>
      </c>
      <c r="W43" s="108" t="s">
        <v>121</v>
      </c>
      <c r="X43" s="108" t="s">
        <v>92</v>
      </c>
    </row>
    <row r="44" spans="1:60" ht="18.75" hidden="1" customHeight="1" thickBot="1">
      <c r="D44" s="146"/>
      <c r="E44" s="147"/>
      <c r="F44" s="148"/>
      <c r="J44" s="108" t="s">
        <v>140</v>
      </c>
      <c r="K44" s="157" t="s">
        <v>169</v>
      </c>
      <c r="L44" s="158" t="e">
        <f>P40-SUM(M44:P44)</f>
        <v>#N/A</v>
      </c>
      <c r="M44" s="159"/>
      <c r="N44" s="159"/>
      <c r="O44" s="159"/>
      <c r="P44" s="159"/>
      <c r="R44" s="108" t="s">
        <v>140</v>
      </c>
      <c r="S44" s="157" t="s">
        <v>169</v>
      </c>
      <c r="T44" s="159"/>
      <c r="U44" s="159"/>
      <c r="V44" s="159"/>
      <c r="W44" s="159"/>
      <c r="X44" s="159"/>
    </row>
    <row r="45" spans="1:60" ht="18.75" hidden="1" customHeight="1">
      <c r="A45" s="218" t="s">
        <v>86</v>
      </c>
      <c r="B45" s="171"/>
      <c r="C45" s="171"/>
      <c r="D45" s="217" t="s">
        <v>109</v>
      </c>
      <c r="E45" s="217" t="s">
        <v>110</v>
      </c>
      <c r="F45" s="217" t="s">
        <v>111</v>
      </c>
      <c r="G45" s="217" t="s">
        <v>112</v>
      </c>
      <c r="H45" s="117"/>
      <c r="J45" s="108">
        <v>1</v>
      </c>
      <c r="K45" s="159"/>
      <c r="L45" s="157" t="e">
        <f>K45-SUM(M45:P45)</f>
        <v>#N/A</v>
      </c>
      <c r="M45" s="157" t="e">
        <f>ROUNDDOWN($K45*M$44/$P$40,0)</f>
        <v>#N/A</v>
      </c>
      <c r="N45" s="157" t="e">
        <f t="shared" ref="N45:P45" si="56">ROUNDDOWN($K45*N$44/$P$40,0)</f>
        <v>#N/A</v>
      </c>
      <c r="O45" s="157" t="e">
        <f t="shared" si="56"/>
        <v>#N/A</v>
      </c>
      <c r="P45" s="157" t="e">
        <f t="shared" si="56"/>
        <v>#N/A</v>
      </c>
      <c r="R45" s="108">
        <v>1</v>
      </c>
      <c r="S45" s="159"/>
      <c r="T45" s="157" t="e">
        <f>S45-SUM(U45:X45)</f>
        <v>#DIV/0!</v>
      </c>
      <c r="U45" s="157" t="e">
        <f>ROUNDDOWN($S45*U$44/SUM($T$44:$X$44),0)</f>
        <v>#DIV/0!</v>
      </c>
      <c r="V45" s="157" t="e">
        <f>ROUNDDOWN($S45*V$44/SUM($T$44:$X$44),0)</f>
        <v>#DIV/0!</v>
      </c>
      <c r="W45" s="157" t="e">
        <f>ROUNDDOWN($S45*W$44/SUM($T$44:$X$44),0)</f>
        <v>#DIV/0!</v>
      </c>
      <c r="X45" s="157" t="e">
        <f>ROUNDDOWN($S45*X$44/SUM($T$44:$X$44),0)</f>
        <v>#DIV/0!</v>
      </c>
    </row>
    <row r="46" spans="1:60" ht="18.75" hidden="1" customHeight="1">
      <c r="A46" s="218"/>
      <c r="B46" s="171"/>
      <c r="C46" s="171"/>
      <c r="D46" s="217"/>
      <c r="E46" s="217"/>
      <c r="F46" s="217"/>
      <c r="G46" s="217"/>
      <c r="H46" s="117"/>
      <c r="J46" s="108">
        <v>2</v>
      </c>
      <c r="K46" s="157">
        <f>K45</f>
        <v>0</v>
      </c>
      <c r="L46" s="157" t="e">
        <f t="shared" ref="L46:L56" si="57">K46-SUM(M46:P46)</f>
        <v>#N/A</v>
      </c>
      <c r="M46" s="157" t="e">
        <f t="shared" ref="M46:P56" si="58">ROUNDDOWN($K46*M$44/$P$40,0)</f>
        <v>#N/A</v>
      </c>
      <c r="N46" s="157" t="e">
        <f t="shared" si="58"/>
        <v>#N/A</v>
      </c>
      <c r="O46" s="157" t="e">
        <f t="shared" si="58"/>
        <v>#N/A</v>
      </c>
      <c r="P46" s="157" t="e">
        <f t="shared" si="58"/>
        <v>#N/A</v>
      </c>
      <c r="R46" s="108">
        <v>2</v>
      </c>
      <c r="S46" s="159"/>
      <c r="T46" s="157" t="e">
        <f t="shared" ref="T46:T56" si="59">S46-SUM(U46:X46)</f>
        <v>#DIV/0!</v>
      </c>
      <c r="U46" s="157" t="e">
        <f t="shared" ref="U46:X47" si="60">ROUNDDOWN($S46*U$44/SUM($T$44:$X$44),0)</f>
        <v>#DIV/0!</v>
      </c>
      <c r="V46" s="157" t="e">
        <f t="shared" si="60"/>
        <v>#DIV/0!</v>
      </c>
      <c r="W46" s="157" t="e">
        <f t="shared" si="60"/>
        <v>#DIV/0!</v>
      </c>
      <c r="X46" s="157" t="e">
        <f t="shared" si="60"/>
        <v>#DIV/0!</v>
      </c>
    </row>
    <row r="47" spans="1:60" ht="18.75" hidden="1" customHeight="1">
      <c r="A47" s="129" t="s">
        <v>180</v>
      </c>
      <c r="B47" s="170"/>
      <c r="C47" s="170"/>
      <c r="D47" s="133">
        <f t="shared" ref="D47:D55" si="61">ROUNDDOWN(M26*$D$44,0)</f>
        <v>0</v>
      </c>
      <c r="E47" s="133" t="e">
        <f t="shared" ref="E47:E55" si="62">ROUNDDOWN(N26*$E$44,0)</f>
        <v>#N/A</v>
      </c>
      <c r="F47" s="133">
        <f t="shared" ref="F47:F55" si="63">ROUNDDOWN(O26*$F$44,0)</f>
        <v>0</v>
      </c>
      <c r="G47" s="133" t="e">
        <f t="shared" ref="G47:G57" si="64">SUM(D47:F47)</f>
        <v>#N/A</v>
      </c>
      <c r="H47" s="134"/>
      <c r="J47" s="108">
        <v>3</v>
      </c>
      <c r="K47" s="157">
        <f>K45</f>
        <v>0</v>
      </c>
      <c r="L47" s="157" t="e">
        <f t="shared" si="57"/>
        <v>#N/A</v>
      </c>
      <c r="M47" s="157" t="e">
        <f t="shared" si="58"/>
        <v>#N/A</v>
      </c>
      <c r="N47" s="157" t="e">
        <f t="shared" si="58"/>
        <v>#N/A</v>
      </c>
      <c r="O47" s="157" t="e">
        <f t="shared" si="58"/>
        <v>#N/A</v>
      </c>
      <c r="P47" s="157" t="e">
        <f t="shared" si="58"/>
        <v>#N/A</v>
      </c>
      <c r="R47" s="108">
        <v>3</v>
      </c>
      <c r="S47" s="159"/>
      <c r="T47" s="157" t="e">
        <f t="shared" si="59"/>
        <v>#DIV/0!</v>
      </c>
      <c r="U47" s="157" t="e">
        <f t="shared" si="60"/>
        <v>#DIV/0!</v>
      </c>
      <c r="V47" s="157" t="e">
        <f t="shared" si="60"/>
        <v>#DIV/0!</v>
      </c>
      <c r="W47" s="157" t="e">
        <f t="shared" si="60"/>
        <v>#DIV/0!</v>
      </c>
      <c r="X47" s="157" t="e">
        <f t="shared" si="60"/>
        <v>#DIV/0!</v>
      </c>
    </row>
    <row r="48" spans="1:60" ht="18.75" hidden="1" customHeight="1">
      <c r="A48" s="129" t="s">
        <v>119</v>
      </c>
      <c r="B48" s="170"/>
      <c r="C48" s="170"/>
      <c r="D48" s="133">
        <f t="shared" si="61"/>
        <v>0</v>
      </c>
      <c r="E48" s="133" t="e">
        <f t="shared" si="62"/>
        <v>#N/A</v>
      </c>
      <c r="F48" s="133">
        <f t="shared" si="63"/>
        <v>0</v>
      </c>
      <c r="G48" s="133" t="e">
        <f t="shared" si="64"/>
        <v>#N/A</v>
      </c>
      <c r="H48" s="134"/>
      <c r="J48" s="108">
        <v>4</v>
      </c>
      <c r="K48" s="157" t="e">
        <f>$P$40-SUM($K$45:$K$47)-SUM($K$49:$K$56)</f>
        <v>#N/A</v>
      </c>
      <c r="L48" s="157" t="e">
        <f t="shared" si="57"/>
        <v>#N/A</v>
      </c>
      <c r="M48" s="157" t="e">
        <f>M44-SUM(M45:M47)-SUM(M49:M56)</f>
        <v>#N/A</v>
      </c>
      <c r="N48" s="157" t="e">
        <f t="shared" ref="N48:P48" si="65">N44-SUM(N45:N47)-SUM(N49:N56)</f>
        <v>#N/A</v>
      </c>
      <c r="O48" s="157" t="e">
        <f t="shared" si="65"/>
        <v>#N/A</v>
      </c>
      <c r="P48" s="157" t="e">
        <f t="shared" si="65"/>
        <v>#N/A</v>
      </c>
      <c r="R48" s="108">
        <v>4</v>
      </c>
      <c r="S48" s="159"/>
      <c r="T48" s="157" t="e">
        <f t="shared" si="59"/>
        <v>#DIV/0!</v>
      </c>
      <c r="U48" s="157" t="e">
        <f>U44-SUM(U45:U47)-SUM(U49:U56)</f>
        <v>#DIV/0!</v>
      </c>
      <c r="V48" s="157" t="e">
        <f t="shared" ref="V48:X48" si="66">V44-SUM(V45:V47)-SUM(V49:V56)</f>
        <v>#DIV/0!</v>
      </c>
      <c r="W48" s="157" t="e">
        <f t="shared" si="66"/>
        <v>#DIV/0!</v>
      </c>
      <c r="X48" s="157" t="e">
        <f t="shared" si="66"/>
        <v>#DIV/0!</v>
      </c>
    </row>
    <row r="49" spans="1:48" ht="18.75" hidden="1" customHeight="1">
      <c r="A49" s="129" t="s">
        <v>120</v>
      </c>
      <c r="B49" s="170"/>
      <c r="C49" s="170"/>
      <c r="D49" s="133">
        <f t="shared" si="61"/>
        <v>0</v>
      </c>
      <c r="E49" s="133" t="e">
        <f t="shared" si="62"/>
        <v>#N/A</v>
      </c>
      <c r="F49" s="133">
        <f t="shared" si="63"/>
        <v>0</v>
      </c>
      <c r="G49" s="133" t="e">
        <f t="shared" si="64"/>
        <v>#N/A</v>
      </c>
      <c r="H49" s="134"/>
      <c r="J49" s="108">
        <v>5</v>
      </c>
      <c r="K49" s="157" t="e">
        <f>ROUNDDOWN(($P$40-SUM($K$45:$K$47))/9,-2)</f>
        <v>#N/A</v>
      </c>
      <c r="L49" s="157" t="e">
        <f t="shared" si="57"/>
        <v>#N/A</v>
      </c>
      <c r="M49" s="157" t="e">
        <f t="shared" si="58"/>
        <v>#N/A</v>
      </c>
      <c r="N49" s="157" t="e">
        <f t="shared" si="58"/>
        <v>#N/A</v>
      </c>
      <c r="O49" s="157" t="e">
        <f t="shared" si="58"/>
        <v>#N/A</v>
      </c>
      <c r="P49" s="157" t="e">
        <f t="shared" si="58"/>
        <v>#N/A</v>
      </c>
      <c r="R49" s="108">
        <v>5</v>
      </c>
      <c r="S49" s="159"/>
      <c r="T49" s="157" t="e">
        <f t="shared" si="59"/>
        <v>#DIV/0!</v>
      </c>
      <c r="U49" s="157" t="e">
        <f>ROUNDDOWN($S49*U$44/SUM($T$44:$X$44),0)</f>
        <v>#DIV/0!</v>
      </c>
      <c r="V49" s="157" t="e">
        <f>ROUNDDOWN($S49*V$44/SUM($T$44:$X$44),0)</f>
        <v>#DIV/0!</v>
      </c>
      <c r="W49" s="157" t="e">
        <f>ROUNDDOWN($S49*W$44/SUM($T$44:$X$44),0)</f>
        <v>#DIV/0!</v>
      </c>
      <c r="X49" s="157" t="e">
        <f>ROUNDDOWN($S49*X$44/SUM($T$44:$X$44),0)</f>
        <v>#DIV/0!</v>
      </c>
    </row>
    <row r="50" spans="1:48" ht="18.75" hidden="1" customHeight="1">
      <c r="A50" s="129" t="s">
        <v>121</v>
      </c>
      <c r="B50" s="170"/>
      <c r="C50" s="170"/>
      <c r="D50" s="133">
        <f t="shared" si="61"/>
        <v>0</v>
      </c>
      <c r="E50" s="133" t="e">
        <f t="shared" si="62"/>
        <v>#N/A</v>
      </c>
      <c r="F50" s="133">
        <f t="shared" si="63"/>
        <v>0</v>
      </c>
      <c r="G50" s="133" t="e">
        <f t="shared" si="64"/>
        <v>#N/A</v>
      </c>
      <c r="H50" s="134"/>
      <c r="J50" s="108">
        <v>6</v>
      </c>
      <c r="K50" s="157" t="e">
        <f t="shared" ref="K50:K56" si="67">ROUNDDOWN(($P$40-SUM($K$45:$K$47))/9,-2)</f>
        <v>#N/A</v>
      </c>
      <c r="L50" s="157" t="e">
        <f t="shared" si="57"/>
        <v>#N/A</v>
      </c>
      <c r="M50" s="157" t="e">
        <f t="shared" si="58"/>
        <v>#N/A</v>
      </c>
      <c r="N50" s="157" t="e">
        <f t="shared" si="58"/>
        <v>#N/A</v>
      </c>
      <c r="O50" s="157" t="e">
        <f t="shared" si="58"/>
        <v>#N/A</v>
      </c>
      <c r="P50" s="157" t="e">
        <f t="shared" si="58"/>
        <v>#N/A</v>
      </c>
      <c r="R50" s="108">
        <v>6</v>
      </c>
      <c r="S50" s="159"/>
      <c r="T50" s="157" t="e">
        <f t="shared" si="59"/>
        <v>#DIV/0!</v>
      </c>
      <c r="U50" s="157" t="e">
        <f>ROUNDDOWN($S50*U$44/SUM($T$44:$X$44),0)</f>
        <v>#DIV/0!</v>
      </c>
      <c r="V50" s="157" t="e">
        <f t="shared" ref="U50:X56" si="68">ROUNDDOWN($S50*V$44/SUM($T$44:$X$44),0)</f>
        <v>#DIV/0!</v>
      </c>
      <c r="W50" s="157" t="e">
        <f t="shared" si="68"/>
        <v>#DIV/0!</v>
      </c>
      <c r="X50" s="157" t="e">
        <f t="shared" si="68"/>
        <v>#DIV/0!</v>
      </c>
    </row>
    <row r="51" spans="1:48" ht="18.75" hidden="1" customHeight="1">
      <c r="A51" s="129" t="s">
        <v>92</v>
      </c>
      <c r="B51" s="170"/>
      <c r="C51" s="170"/>
      <c r="D51" s="133">
        <f t="shared" si="61"/>
        <v>0</v>
      </c>
      <c r="E51" s="133" t="e">
        <f t="shared" si="62"/>
        <v>#N/A</v>
      </c>
      <c r="F51" s="133">
        <f t="shared" si="63"/>
        <v>0</v>
      </c>
      <c r="G51" s="133" t="e">
        <f t="shared" si="64"/>
        <v>#N/A</v>
      </c>
      <c r="H51" s="134"/>
      <c r="J51" s="108">
        <v>7</v>
      </c>
      <c r="K51" s="157" t="e">
        <f t="shared" si="67"/>
        <v>#N/A</v>
      </c>
      <c r="L51" s="157" t="e">
        <f t="shared" si="57"/>
        <v>#N/A</v>
      </c>
      <c r="M51" s="157" t="e">
        <f t="shared" si="58"/>
        <v>#N/A</v>
      </c>
      <c r="N51" s="157" t="e">
        <f t="shared" si="58"/>
        <v>#N/A</v>
      </c>
      <c r="O51" s="157" t="e">
        <f t="shared" si="58"/>
        <v>#N/A</v>
      </c>
      <c r="P51" s="157" t="e">
        <f t="shared" si="58"/>
        <v>#N/A</v>
      </c>
      <c r="R51" s="108">
        <v>7</v>
      </c>
      <c r="S51" s="159"/>
      <c r="T51" s="157" t="e">
        <f t="shared" si="59"/>
        <v>#DIV/0!</v>
      </c>
      <c r="U51" s="157" t="e">
        <f>ROUNDDOWN($S51*U$44/SUM($T$44:$X$44),0)</f>
        <v>#DIV/0!</v>
      </c>
      <c r="V51" s="157" t="e">
        <f t="shared" si="68"/>
        <v>#DIV/0!</v>
      </c>
      <c r="W51" s="157" t="e">
        <f t="shared" si="68"/>
        <v>#DIV/0!</v>
      </c>
      <c r="X51" s="157" t="e">
        <f t="shared" si="68"/>
        <v>#DIV/0!</v>
      </c>
    </row>
    <row r="52" spans="1:48" ht="18.75" hidden="1" customHeight="1">
      <c r="A52" s="129" t="s">
        <v>93</v>
      </c>
      <c r="B52" s="170"/>
      <c r="C52" s="170"/>
      <c r="D52" s="133">
        <f t="shared" si="61"/>
        <v>0</v>
      </c>
      <c r="E52" s="133" t="e">
        <f t="shared" si="62"/>
        <v>#N/A</v>
      </c>
      <c r="F52" s="133">
        <f t="shared" si="63"/>
        <v>0</v>
      </c>
      <c r="G52" s="133" t="e">
        <f t="shared" si="64"/>
        <v>#N/A</v>
      </c>
      <c r="H52" s="134"/>
      <c r="J52" s="108">
        <v>8</v>
      </c>
      <c r="K52" s="157" t="e">
        <f t="shared" si="67"/>
        <v>#N/A</v>
      </c>
      <c r="L52" s="157" t="e">
        <f t="shared" si="57"/>
        <v>#N/A</v>
      </c>
      <c r="M52" s="157" t="e">
        <f t="shared" si="58"/>
        <v>#N/A</v>
      </c>
      <c r="N52" s="157" t="e">
        <f t="shared" si="58"/>
        <v>#N/A</v>
      </c>
      <c r="O52" s="157" t="e">
        <f t="shared" si="58"/>
        <v>#N/A</v>
      </c>
      <c r="P52" s="157" t="e">
        <f t="shared" si="58"/>
        <v>#N/A</v>
      </c>
      <c r="R52" s="108">
        <v>8</v>
      </c>
      <c r="S52" s="159"/>
      <c r="T52" s="157" t="e">
        <f t="shared" si="59"/>
        <v>#DIV/0!</v>
      </c>
      <c r="U52" s="157" t="e">
        <f>ROUNDDOWN($S52*U$44/SUM($T$44:$X$44),0)</f>
        <v>#DIV/0!</v>
      </c>
      <c r="V52" s="157" t="e">
        <f t="shared" si="68"/>
        <v>#DIV/0!</v>
      </c>
      <c r="W52" s="157" t="e">
        <f t="shared" si="68"/>
        <v>#DIV/0!</v>
      </c>
      <c r="X52" s="157" t="e">
        <f t="shared" si="68"/>
        <v>#DIV/0!</v>
      </c>
    </row>
    <row r="53" spans="1:48" ht="18.75" hidden="1" customHeight="1">
      <c r="A53" s="129" t="s">
        <v>94</v>
      </c>
      <c r="B53" s="170"/>
      <c r="C53" s="170"/>
      <c r="D53" s="133">
        <f t="shared" si="61"/>
        <v>0</v>
      </c>
      <c r="E53" s="133" t="e">
        <f t="shared" si="62"/>
        <v>#N/A</v>
      </c>
      <c r="F53" s="133">
        <f t="shared" si="63"/>
        <v>0</v>
      </c>
      <c r="G53" s="133" t="e">
        <f t="shared" si="64"/>
        <v>#N/A</v>
      </c>
      <c r="H53" s="134"/>
      <c r="J53" s="108">
        <v>9</v>
      </c>
      <c r="K53" s="157" t="e">
        <f t="shared" si="67"/>
        <v>#N/A</v>
      </c>
      <c r="L53" s="157" t="e">
        <f t="shared" si="57"/>
        <v>#N/A</v>
      </c>
      <c r="M53" s="157" t="e">
        <f t="shared" si="58"/>
        <v>#N/A</v>
      </c>
      <c r="N53" s="157" t="e">
        <f t="shared" si="58"/>
        <v>#N/A</v>
      </c>
      <c r="O53" s="157" t="e">
        <f t="shared" si="58"/>
        <v>#N/A</v>
      </c>
      <c r="P53" s="157" t="e">
        <f t="shared" si="58"/>
        <v>#N/A</v>
      </c>
      <c r="R53" s="108">
        <v>9</v>
      </c>
      <c r="S53" s="159"/>
      <c r="T53" s="157" t="e">
        <f t="shared" si="59"/>
        <v>#DIV/0!</v>
      </c>
      <c r="U53" s="157" t="e">
        <f>ROUNDDOWN($S53*U$44/SUM($T$44:$X$44),0)</f>
        <v>#DIV/0!</v>
      </c>
      <c r="V53" s="157" t="e">
        <f t="shared" si="68"/>
        <v>#DIV/0!</v>
      </c>
      <c r="W53" s="157" t="e">
        <f t="shared" si="68"/>
        <v>#DIV/0!</v>
      </c>
      <c r="X53" s="157" t="e">
        <f t="shared" si="68"/>
        <v>#DIV/0!</v>
      </c>
    </row>
    <row r="54" spans="1:48" ht="18.75" hidden="1" customHeight="1">
      <c r="A54" s="129" t="s">
        <v>95</v>
      </c>
      <c r="B54" s="170"/>
      <c r="C54" s="170"/>
      <c r="D54" s="133">
        <f t="shared" si="61"/>
        <v>0</v>
      </c>
      <c r="E54" s="133" t="e">
        <f t="shared" si="62"/>
        <v>#N/A</v>
      </c>
      <c r="F54" s="133">
        <f t="shared" si="63"/>
        <v>0</v>
      </c>
      <c r="G54" s="133" t="e">
        <f t="shared" si="64"/>
        <v>#N/A</v>
      </c>
      <c r="H54" s="134"/>
      <c r="J54" s="108">
        <v>10</v>
      </c>
      <c r="K54" s="157" t="e">
        <f t="shared" si="67"/>
        <v>#N/A</v>
      </c>
      <c r="L54" s="157" t="e">
        <f t="shared" si="57"/>
        <v>#N/A</v>
      </c>
      <c r="M54" s="157" t="e">
        <f t="shared" si="58"/>
        <v>#N/A</v>
      </c>
      <c r="N54" s="157" t="e">
        <f t="shared" si="58"/>
        <v>#N/A</v>
      </c>
      <c r="O54" s="157" t="e">
        <f t="shared" si="58"/>
        <v>#N/A</v>
      </c>
      <c r="P54" s="157" t="e">
        <f t="shared" si="58"/>
        <v>#N/A</v>
      </c>
      <c r="R54" s="108">
        <v>10</v>
      </c>
      <c r="S54" s="159"/>
      <c r="T54" s="157" t="e">
        <f t="shared" si="59"/>
        <v>#DIV/0!</v>
      </c>
      <c r="U54" s="157" t="e">
        <f>ROUNDDOWN($S54*U$44/SUM($T$44:$X$44),0)</f>
        <v>#DIV/0!</v>
      </c>
      <c r="V54" s="157" t="e">
        <f t="shared" si="68"/>
        <v>#DIV/0!</v>
      </c>
      <c r="W54" s="157" t="e">
        <f t="shared" si="68"/>
        <v>#DIV/0!</v>
      </c>
      <c r="X54" s="157" t="e">
        <f t="shared" si="68"/>
        <v>#DIV/0!</v>
      </c>
    </row>
    <row r="55" spans="1:48" ht="18.75" hidden="1" customHeight="1" thickBot="1">
      <c r="A55" s="129" t="s">
        <v>96</v>
      </c>
      <c r="B55" s="176"/>
      <c r="C55" s="176"/>
      <c r="D55" s="149">
        <f t="shared" si="61"/>
        <v>0</v>
      </c>
      <c r="E55" s="135" t="e">
        <f t="shared" si="62"/>
        <v>#N/A</v>
      </c>
      <c r="F55" s="135">
        <f t="shared" si="63"/>
        <v>0</v>
      </c>
      <c r="G55" s="135" t="e">
        <f t="shared" si="64"/>
        <v>#N/A</v>
      </c>
      <c r="H55" s="134"/>
      <c r="J55" s="108">
        <v>11</v>
      </c>
      <c r="K55" s="157" t="e">
        <f t="shared" si="67"/>
        <v>#N/A</v>
      </c>
      <c r="L55" s="157" t="e">
        <f t="shared" si="57"/>
        <v>#N/A</v>
      </c>
      <c r="M55" s="157" t="e">
        <f t="shared" si="58"/>
        <v>#N/A</v>
      </c>
      <c r="N55" s="157" t="e">
        <f t="shared" si="58"/>
        <v>#N/A</v>
      </c>
      <c r="O55" s="157" t="e">
        <f t="shared" si="58"/>
        <v>#N/A</v>
      </c>
      <c r="P55" s="157" t="e">
        <f t="shared" si="58"/>
        <v>#N/A</v>
      </c>
      <c r="R55" s="108">
        <v>11</v>
      </c>
      <c r="S55" s="159"/>
      <c r="T55" s="157" t="e">
        <f t="shared" si="59"/>
        <v>#DIV/0!</v>
      </c>
      <c r="U55" s="157" t="e">
        <f t="shared" si="68"/>
        <v>#DIV/0!</v>
      </c>
      <c r="V55" s="157" t="e">
        <f>ROUNDDOWN($S55*V$44/SUM($T$44:$X$44),0)</f>
        <v>#DIV/0!</v>
      </c>
      <c r="W55" s="157" t="e">
        <f t="shared" si="68"/>
        <v>#DIV/0!</v>
      </c>
      <c r="X55" s="157" t="e">
        <f t="shared" si="68"/>
        <v>#DIV/0!</v>
      </c>
      <c r="AV55" s="150"/>
    </row>
    <row r="56" spans="1:48" ht="18.75" hidden="1" customHeight="1" thickTop="1">
      <c r="A56" s="115" t="s">
        <v>52</v>
      </c>
      <c r="B56" s="171"/>
      <c r="C56" s="171"/>
      <c r="D56" s="133">
        <f>SUM(D47:D55)</f>
        <v>0</v>
      </c>
      <c r="E56" s="133" t="e">
        <f>SUM(E47:E55)</f>
        <v>#N/A</v>
      </c>
      <c r="F56" s="133">
        <f>SUM(F47:F55)</f>
        <v>0</v>
      </c>
      <c r="G56" s="133" t="e">
        <f t="shared" si="64"/>
        <v>#N/A</v>
      </c>
      <c r="H56" s="134" t="e">
        <f>$P$40-G56</f>
        <v>#N/A</v>
      </c>
      <c r="J56" s="108">
        <v>12</v>
      </c>
      <c r="K56" s="157" t="e">
        <f t="shared" si="67"/>
        <v>#N/A</v>
      </c>
      <c r="L56" s="157" t="e">
        <f t="shared" si="57"/>
        <v>#N/A</v>
      </c>
      <c r="M56" s="157" t="e">
        <f t="shared" si="58"/>
        <v>#N/A</v>
      </c>
      <c r="N56" s="157" t="e">
        <f t="shared" si="58"/>
        <v>#N/A</v>
      </c>
      <c r="O56" s="157" t="e">
        <f t="shared" si="58"/>
        <v>#N/A</v>
      </c>
      <c r="P56" s="157" t="e">
        <f t="shared" si="58"/>
        <v>#N/A</v>
      </c>
      <c r="R56" s="108">
        <v>12</v>
      </c>
      <c r="S56" s="159"/>
      <c r="T56" s="157" t="e">
        <f t="shared" si="59"/>
        <v>#DIV/0!</v>
      </c>
      <c r="U56" s="157" t="e">
        <f t="shared" si="68"/>
        <v>#DIV/0!</v>
      </c>
      <c r="V56" s="157" t="e">
        <f t="shared" si="68"/>
        <v>#DIV/0!</v>
      </c>
      <c r="W56" s="157" t="e">
        <f t="shared" si="68"/>
        <v>#DIV/0!</v>
      </c>
      <c r="X56" s="157" t="e">
        <f t="shared" si="68"/>
        <v>#DIV/0!</v>
      </c>
    </row>
    <row r="57" spans="1:48" ht="18.75" hidden="1" customHeight="1">
      <c r="A57" s="136" t="s">
        <v>122</v>
      </c>
      <c r="B57" s="177"/>
      <c r="C57" s="177"/>
      <c r="D57" s="133">
        <f>ROUNDDOWN(M36*D44,0)</f>
        <v>0</v>
      </c>
      <c r="E57" s="133" t="e">
        <f>ROUNDDOWN(N36*E44,0)</f>
        <v>#N/A</v>
      </c>
      <c r="F57" s="133" t="e">
        <f>ROUNDDOWN(O36*F44,0)</f>
        <v>#N/A</v>
      </c>
      <c r="G57" s="133" t="e">
        <f t="shared" si="64"/>
        <v>#N/A</v>
      </c>
      <c r="H57" s="134" t="e">
        <f>$P$40-G57</f>
        <v>#N/A</v>
      </c>
      <c r="K57" s="157" t="e">
        <f>SUM(K45:K56)</f>
        <v>#N/A</v>
      </c>
      <c r="L57" s="157" t="e">
        <f t="shared" ref="L57:P57" si="69">SUM(L45:L56)</f>
        <v>#N/A</v>
      </c>
      <c r="M57" s="157" t="e">
        <f t="shared" si="69"/>
        <v>#N/A</v>
      </c>
      <c r="N57" s="157" t="e">
        <f t="shared" si="69"/>
        <v>#N/A</v>
      </c>
      <c r="O57" s="157" t="e">
        <f t="shared" si="69"/>
        <v>#N/A</v>
      </c>
      <c r="P57" s="157" t="e">
        <f t="shared" si="69"/>
        <v>#N/A</v>
      </c>
      <c r="R57" s="108"/>
      <c r="S57" s="157">
        <f>SUM(S45:S56)</f>
        <v>0</v>
      </c>
      <c r="T57" s="157" t="e">
        <f t="shared" ref="T57:X57" si="70">SUM(T45:T56)</f>
        <v>#DIV/0!</v>
      </c>
      <c r="U57" s="157" t="e">
        <f t="shared" si="70"/>
        <v>#DIV/0!</v>
      </c>
      <c r="V57" s="157" t="e">
        <f t="shared" si="70"/>
        <v>#DIV/0!</v>
      </c>
      <c r="W57" s="157" t="e">
        <f t="shared" si="70"/>
        <v>#DIV/0!</v>
      </c>
      <c r="X57" s="157" t="e">
        <f t="shared" si="70"/>
        <v>#DIV/0!</v>
      </c>
    </row>
    <row r="58" spans="1:48" ht="18.75" hidden="1" customHeight="1">
      <c r="A58" s="219" t="s">
        <v>126</v>
      </c>
      <c r="B58" s="171"/>
      <c r="C58" s="171"/>
      <c r="E58" s="222" t="s">
        <v>130</v>
      </c>
      <c r="F58" s="222"/>
      <c r="G58" s="133" t="e">
        <f>P39</f>
        <v>#N/A</v>
      </c>
      <c r="H58" s="134"/>
      <c r="K58" s="160"/>
      <c r="L58" s="160"/>
      <c r="M58" s="160"/>
      <c r="N58" s="160"/>
    </row>
    <row r="59" spans="1:48" ht="18.75" hidden="1" customHeight="1">
      <c r="A59" s="220"/>
      <c r="B59" s="171"/>
      <c r="C59" s="171"/>
      <c r="E59" s="134"/>
      <c r="F59" s="134" t="s">
        <v>141</v>
      </c>
      <c r="G59" s="134" t="e">
        <f>G56-$G$54</f>
        <v>#N/A</v>
      </c>
      <c r="H59" s="134" t="e">
        <f>$P$40-G59</f>
        <v>#N/A</v>
      </c>
    </row>
    <row r="60" spans="1:48" ht="18.75" hidden="1" customHeight="1">
      <c r="A60" s="221"/>
      <c r="B60" s="171"/>
      <c r="C60" s="171"/>
      <c r="F60" s="108" t="s">
        <v>142</v>
      </c>
      <c r="G60" s="134" t="e">
        <f>G57-$G$54</f>
        <v>#N/A</v>
      </c>
      <c r="H60" s="134" t="e">
        <f>$P$40-G60</f>
        <v>#N/A</v>
      </c>
    </row>
    <row r="61" spans="1:48" ht="18.75" hidden="1" customHeight="1"/>
    <row r="62" spans="1:48" ht="18.75" hidden="1" customHeight="1"/>
    <row r="63" spans="1:48" ht="18.75" hidden="1" customHeight="1"/>
    <row r="64" spans="1:48" ht="18.75" hidden="1" customHeight="1"/>
    <row r="65" spans="1:20" ht="18.75" hidden="1" customHeight="1"/>
    <row r="66" spans="1:20" ht="18.75" hidden="1" customHeight="1"/>
    <row r="67" spans="1:20" ht="18.75" hidden="1" customHeight="1">
      <c r="A67" s="145" t="s">
        <v>143</v>
      </c>
      <c r="B67" s="145"/>
      <c r="C67" s="145"/>
      <c r="F67" s="145" t="s">
        <v>143</v>
      </c>
      <c r="K67" s="145" t="s">
        <v>144</v>
      </c>
    </row>
    <row r="68" spans="1:20" ht="18.75" hidden="1" customHeight="1">
      <c r="A68" s="151"/>
      <c r="B68" s="151" t="s">
        <v>145</v>
      </c>
      <c r="D68" s="151"/>
      <c r="E68" s="151" t="s">
        <v>106</v>
      </c>
      <c r="F68" s="151" t="s">
        <v>127</v>
      </c>
      <c r="G68" s="151" t="s">
        <v>128</v>
      </c>
      <c r="H68" s="225" t="s">
        <v>146</v>
      </c>
      <c r="I68" s="152" t="s">
        <v>106</v>
      </c>
      <c r="J68" s="152" t="s">
        <v>127</v>
      </c>
      <c r="K68" s="152" t="s">
        <v>128</v>
      </c>
      <c r="O68" s="109"/>
      <c r="P68" s="109"/>
      <c r="S68" s="108"/>
      <c r="T68" s="108"/>
    </row>
    <row r="69" spans="1:20" ht="18.75" hidden="1" customHeight="1">
      <c r="A69" s="151" t="s">
        <v>106</v>
      </c>
      <c r="B69" s="153">
        <f>VLOOKUP($D$1,$A$87:$M$98,11,FALSE)</f>
        <v>540000</v>
      </c>
      <c r="D69" s="151" t="s">
        <v>115</v>
      </c>
      <c r="E69" s="154">
        <f>VLOOKUP($D$1,$A$87:$M$98,2,FALSE)</f>
        <v>9.0899999999999995E-2</v>
      </c>
      <c r="F69" s="154">
        <f>VLOOKUP($D$1,$A$87:$M$98,5,FALSE)</f>
        <v>3.3799999999999997E-2</v>
      </c>
      <c r="G69" s="154">
        <f>VLOOKUP($D$1,$A$87:$M$98,8,FALSE)</f>
        <v>3.3000000000000002E-2</v>
      </c>
      <c r="H69" s="225"/>
      <c r="I69" s="154">
        <f>E69</f>
        <v>9.0899999999999995E-2</v>
      </c>
      <c r="J69" s="154">
        <f>F69</f>
        <v>3.3799999999999997E-2</v>
      </c>
      <c r="K69" s="154">
        <f>G69</f>
        <v>3.3000000000000002E-2</v>
      </c>
      <c r="O69" s="109"/>
      <c r="P69" s="109"/>
      <c r="S69" s="108"/>
      <c r="T69" s="108"/>
    </row>
    <row r="70" spans="1:20" ht="18.75" hidden="1" customHeight="1">
      <c r="A70" s="151" t="s">
        <v>127</v>
      </c>
      <c r="B70" s="153">
        <f>VLOOKUP($D$1,$A$87:$M$98,12,FALSE)</f>
        <v>190000</v>
      </c>
      <c r="D70" s="151" t="s">
        <v>147</v>
      </c>
      <c r="E70" s="153">
        <f>VLOOKUP($D$1,$A$87:$M$98,3,FALSE)</f>
        <v>26640</v>
      </c>
      <c r="F70" s="153">
        <f>VLOOKUP($D$1,$A$87:$M$98,6,FALSE)</f>
        <v>9840</v>
      </c>
      <c r="G70" s="153">
        <f>VLOOKUP($D$1,$A$87:$M$98,9,FALSE)</f>
        <v>11520</v>
      </c>
      <c r="H70" s="225"/>
      <c r="I70" s="153" t="e">
        <f>ROUNDDOWN(E70*VLOOKUP($D$3,$A$79:$B$82,2,FALSE),0)</f>
        <v>#N/A</v>
      </c>
      <c r="J70" s="153" t="e">
        <f t="shared" ref="I70:K71" si="71">ROUNDDOWN(F70*VLOOKUP($D$3,$A$79:$B$82,2,FALSE),0)</f>
        <v>#N/A</v>
      </c>
      <c r="K70" s="153" t="e">
        <f t="shared" si="71"/>
        <v>#N/A</v>
      </c>
      <c r="O70" s="109"/>
      <c r="P70" s="109"/>
      <c r="S70" s="108"/>
      <c r="T70" s="108"/>
    </row>
    <row r="71" spans="1:20" ht="18.75" hidden="1" customHeight="1">
      <c r="A71" s="151" t="s">
        <v>128</v>
      </c>
      <c r="B71" s="153">
        <f>VLOOKUP($D$1,$A$87:$M$98,13,FALSE)</f>
        <v>160000</v>
      </c>
      <c r="D71" s="151" t="s">
        <v>117</v>
      </c>
      <c r="E71" s="153">
        <f>VLOOKUP($D$1,$A$87:$M$98,4,FALSE)</f>
        <v>22080</v>
      </c>
      <c r="F71" s="153">
        <f>VLOOKUP($D$1,$A$87:$M$98,7,FALSE)</f>
        <v>8160</v>
      </c>
      <c r="G71" s="153">
        <f>VLOOKUP($D$1,$A$87:$M$98,10,FALSE)</f>
        <v>6720</v>
      </c>
      <c r="H71" s="225"/>
      <c r="I71" s="153" t="e">
        <f t="shared" si="71"/>
        <v>#N/A</v>
      </c>
      <c r="J71" s="153" t="e">
        <f t="shared" si="71"/>
        <v>#N/A</v>
      </c>
      <c r="K71" s="153" t="e">
        <f t="shared" si="71"/>
        <v>#N/A</v>
      </c>
      <c r="O71" s="109"/>
      <c r="P71" s="109"/>
      <c r="S71" s="108"/>
      <c r="T71" s="108"/>
    </row>
    <row r="72" spans="1:20" ht="18.75" hidden="1" customHeight="1">
      <c r="O72" s="109"/>
      <c r="P72" s="109"/>
      <c r="S72" s="108"/>
      <c r="T72" s="108"/>
    </row>
    <row r="73" spans="1:20" ht="18.75" hidden="1" customHeight="1">
      <c r="A73" s="145" t="s">
        <v>148</v>
      </c>
      <c r="O73" s="109"/>
      <c r="P73" s="109"/>
      <c r="S73" s="108"/>
      <c r="T73" s="108"/>
    </row>
    <row r="74" spans="1:20" ht="18.75" hidden="1" customHeight="1">
      <c r="A74" s="151" t="s">
        <v>149</v>
      </c>
      <c r="B74" s="132">
        <v>1</v>
      </c>
      <c r="O74" s="109"/>
      <c r="P74" s="109"/>
      <c r="S74" s="108"/>
      <c r="T74" s="108"/>
    </row>
    <row r="75" spans="1:20" ht="18.75" hidden="1" customHeight="1">
      <c r="A75" s="151" t="s">
        <v>150</v>
      </c>
      <c r="B75" s="132">
        <v>0.5</v>
      </c>
      <c r="O75" s="109"/>
      <c r="P75" s="109"/>
      <c r="S75" s="108"/>
      <c r="T75" s="108"/>
    </row>
    <row r="76" spans="1:20" ht="18.75" hidden="1" customHeight="1">
      <c r="A76" s="151" t="s">
        <v>151</v>
      </c>
      <c r="B76" s="132">
        <v>0.75</v>
      </c>
      <c r="O76" s="109"/>
      <c r="P76" s="109"/>
      <c r="S76" s="108"/>
      <c r="T76" s="108"/>
    </row>
    <row r="77" spans="1:20" ht="18.75" hidden="1" customHeight="1">
      <c r="B77" s="127"/>
      <c r="O77" s="109"/>
      <c r="P77" s="109"/>
      <c r="S77" s="108"/>
      <c r="T77" s="108"/>
    </row>
    <row r="78" spans="1:20" ht="18.75" hidden="1" customHeight="1">
      <c r="A78" s="145" t="s">
        <v>152</v>
      </c>
      <c r="E78" s="145" t="s">
        <v>153</v>
      </c>
      <c r="O78" s="109"/>
      <c r="P78" s="109"/>
      <c r="S78" s="108"/>
      <c r="T78" s="108"/>
    </row>
    <row r="79" spans="1:20" ht="18.75" hidden="1" customHeight="1">
      <c r="A79" s="151" t="s">
        <v>154</v>
      </c>
      <c r="B79" s="155">
        <v>1</v>
      </c>
      <c r="C79" s="108" t="s">
        <v>155</v>
      </c>
      <c r="E79" s="156">
        <v>1</v>
      </c>
      <c r="F79" s="125" t="s">
        <v>156</v>
      </c>
      <c r="O79" s="109"/>
      <c r="P79" s="109"/>
      <c r="S79" s="108"/>
      <c r="T79" s="108"/>
    </row>
    <row r="80" spans="1:20" ht="18.75" hidden="1" customHeight="1">
      <c r="A80" s="151" t="s">
        <v>193</v>
      </c>
      <c r="B80" s="155">
        <v>0.8</v>
      </c>
      <c r="C80" s="108" t="s">
        <v>157</v>
      </c>
      <c r="E80" s="156">
        <v>2</v>
      </c>
      <c r="F80" s="125" t="s">
        <v>158</v>
      </c>
      <c r="O80" s="109"/>
      <c r="P80" s="109"/>
      <c r="S80" s="108"/>
      <c r="T80" s="108"/>
    </row>
    <row r="81" spans="1:20" ht="18.75" hidden="1" customHeight="1">
      <c r="A81" s="151" t="s">
        <v>194</v>
      </c>
      <c r="B81" s="155">
        <v>0.5</v>
      </c>
      <c r="C81" s="108" t="s">
        <v>159</v>
      </c>
      <c r="O81" s="109"/>
      <c r="P81" s="109"/>
      <c r="S81" s="108"/>
      <c r="T81" s="108"/>
    </row>
    <row r="82" spans="1:20" ht="18.75" hidden="1" customHeight="1">
      <c r="A82" s="151" t="s">
        <v>195</v>
      </c>
      <c r="B82" s="155">
        <v>0.3</v>
      </c>
      <c r="C82" s="108" t="s">
        <v>160</v>
      </c>
      <c r="O82" s="109"/>
      <c r="P82" s="109"/>
      <c r="S82" s="108"/>
      <c r="T82" s="108"/>
    </row>
    <row r="83" spans="1:20" ht="18.75" hidden="1" customHeight="1">
      <c r="O83" s="109"/>
      <c r="P83" s="109"/>
      <c r="S83" s="108"/>
      <c r="T83" s="108"/>
    </row>
    <row r="84" spans="1:20" ht="18.75" hidden="1" customHeight="1">
      <c r="A84" s="145" t="s">
        <v>161</v>
      </c>
      <c r="O84" s="109"/>
      <c r="P84" s="109"/>
      <c r="S84" s="108"/>
      <c r="T84" s="108"/>
    </row>
    <row r="85" spans="1:20" ht="18.75" hidden="1" customHeight="1">
      <c r="A85" s="161"/>
      <c r="B85" s="161" t="s">
        <v>170</v>
      </c>
      <c r="C85" s="161"/>
      <c r="D85" s="161"/>
      <c r="E85" s="161" t="s">
        <v>171</v>
      </c>
      <c r="F85" s="161"/>
      <c r="G85" s="161"/>
      <c r="H85" s="161" t="s">
        <v>85</v>
      </c>
      <c r="I85" s="161"/>
      <c r="J85" s="161"/>
      <c r="K85" s="161" t="s">
        <v>145</v>
      </c>
      <c r="L85" s="161"/>
      <c r="M85" s="161"/>
      <c r="O85" s="109"/>
      <c r="P85" s="109"/>
      <c r="S85" s="108"/>
      <c r="T85" s="108"/>
    </row>
    <row r="86" spans="1:20" ht="18.75" hidden="1" customHeight="1">
      <c r="A86" s="161" t="s">
        <v>172</v>
      </c>
      <c r="B86" s="161" t="s">
        <v>115</v>
      </c>
      <c r="C86" s="161" t="s">
        <v>116</v>
      </c>
      <c r="D86" s="161" t="s">
        <v>117</v>
      </c>
      <c r="E86" s="161" t="s">
        <v>115</v>
      </c>
      <c r="F86" s="161" t="s">
        <v>116</v>
      </c>
      <c r="G86" s="161" t="s">
        <v>117</v>
      </c>
      <c r="H86" s="161" t="s">
        <v>115</v>
      </c>
      <c r="I86" s="161" t="s">
        <v>116</v>
      </c>
      <c r="J86" s="161" t="s">
        <v>117</v>
      </c>
      <c r="K86" s="161" t="s">
        <v>170</v>
      </c>
      <c r="L86" s="161" t="s">
        <v>171</v>
      </c>
      <c r="M86" s="161" t="s">
        <v>85</v>
      </c>
      <c r="O86" s="109"/>
      <c r="P86" s="109"/>
      <c r="S86" s="108"/>
      <c r="T86" s="108"/>
    </row>
    <row r="87" spans="1:20" ht="18.75" hidden="1" customHeight="1">
      <c r="A87" s="132" t="s">
        <v>162</v>
      </c>
      <c r="B87" s="154">
        <v>8.2500000000000004E-2</v>
      </c>
      <c r="C87" s="153">
        <v>26400</v>
      </c>
      <c r="D87" s="153">
        <v>23280</v>
      </c>
      <c r="E87" s="154">
        <v>2.4299999999999999E-2</v>
      </c>
      <c r="F87" s="153">
        <v>7680</v>
      </c>
      <c r="G87" s="153">
        <v>6720</v>
      </c>
      <c r="H87" s="154">
        <v>2.3400000000000001E-2</v>
      </c>
      <c r="I87" s="153">
        <v>8160</v>
      </c>
      <c r="J87" s="153">
        <v>5040</v>
      </c>
      <c r="K87" s="153">
        <v>500000</v>
      </c>
      <c r="L87" s="153">
        <v>130000</v>
      </c>
      <c r="M87" s="153">
        <v>100000</v>
      </c>
      <c r="O87" s="109"/>
      <c r="P87" s="109"/>
      <c r="S87" s="108"/>
      <c r="T87" s="108"/>
    </row>
    <row r="88" spans="1:20" ht="18.75" hidden="1" customHeight="1">
      <c r="A88" s="132" t="s">
        <v>163</v>
      </c>
      <c r="B88" s="154">
        <v>8.0600000000000005E-2</v>
      </c>
      <c r="C88" s="153">
        <v>26400</v>
      </c>
      <c r="D88" s="153">
        <v>23040</v>
      </c>
      <c r="E88" s="154">
        <v>2.47E-2</v>
      </c>
      <c r="F88" s="153">
        <v>7680</v>
      </c>
      <c r="G88" s="153">
        <v>6720</v>
      </c>
      <c r="H88" s="154">
        <v>2.2800000000000001E-2</v>
      </c>
      <c r="I88" s="153">
        <v>8160</v>
      </c>
      <c r="J88" s="153">
        <v>5040</v>
      </c>
      <c r="K88" s="153">
        <v>510000</v>
      </c>
      <c r="L88" s="153">
        <v>140000</v>
      </c>
      <c r="M88" s="153">
        <v>120000</v>
      </c>
      <c r="O88" s="109"/>
      <c r="P88" s="109"/>
      <c r="S88" s="108"/>
      <c r="T88" s="108"/>
    </row>
    <row r="89" spans="1:20" ht="18.75" hidden="1" customHeight="1">
      <c r="A89" s="132" t="s">
        <v>164</v>
      </c>
      <c r="B89" s="154">
        <v>8.0600000000000005E-2</v>
      </c>
      <c r="C89" s="153">
        <v>26400</v>
      </c>
      <c r="D89" s="153">
        <v>23040</v>
      </c>
      <c r="E89" s="154">
        <v>2.47E-2</v>
      </c>
      <c r="F89" s="153">
        <v>7680</v>
      </c>
      <c r="G89" s="153">
        <v>6720</v>
      </c>
      <c r="H89" s="154">
        <v>2.2800000000000001E-2</v>
      </c>
      <c r="I89" s="153">
        <v>8160</v>
      </c>
      <c r="J89" s="153">
        <v>5040</v>
      </c>
      <c r="K89" s="153">
        <v>510000</v>
      </c>
      <c r="L89" s="153">
        <v>140000</v>
      </c>
      <c r="M89" s="153">
        <v>120000</v>
      </c>
      <c r="O89" s="109"/>
      <c r="P89" s="109"/>
      <c r="S89" s="108"/>
      <c r="T89" s="108"/>
    </row>
    <row r="90" spans="1:20" ht="18.75" hidden="1" customHeight="1">
      <c r="A90" s="132" t="s">
        <v>165</v>
      </c>
      <c r="B90" s="154">
        <v>7.6999999999999999E-2</v>
      </c>
      <c r="C90" s="153">
        <v>23520</v>
      </c>
      <c r="D90" s="153">
        <v>20640</v>
      </c>
      <c r="E90" s="154">
        <v>3.4500000000000003E-2</v>
      </c>
      <c r="F90" s="153">
        <v>9360</v>
      </c>
      <c r="G90" s="153">
        <v>8160</v>
      </c>
      <c r="H90" s="154">
        <v>3.04E-2</v>
      </c>
      <c r="I90" s="153">
        <v>10080</v>
      </c>
      <c r="J90" s="153">
        <v>6000</v>
      </c>
      <c r="K90" s="153">
        <v>510000</v>
      </c>
      <c r="L90" s="153">
        <v>140000</v>
      </c>
      <c r="M90" s="153">
        <v>120000</v>
      </c>
      <c r="O90" s="109"/>
      <c r="P90" s="109"/>
      <c r="S90" s="108"/>
      <c r="T90" s="108"/>
    </row>
    <row r="91" spans="1:20" ht="18.75" hidden="1" customHeight="1">
      <c r="A91" s="162" t="s">
        <v>166</v>
      </c>
      <c r="B91" s="163">
        <v>8.2699999999999996E-2</v>
      </c>
      <c r="C91" s="164">
        <v>24480</v>
      </c>
      <c r="D91" s="164">
        <v>21360</v>
      </c>
      <c r="E91" s="163">
        <v>3.61E-2</v>
      </c>
      <c r="F91" s="164">
        <v>9840</v>
      </c>
      <c r="G91" s="164">
        <v>8640</v>
      </c>
      <c r="H91" s="163">
        <v>3.5900000000000001E-2</v>
      </c>
      <c r="I91" s="164">
        <v>11520</v>
      </c>
      <c r="J91" s="164">
        <v>6960</v>
      </c>
      <c r="K91" s="164">
        <v>510000</v>
      </c>
      <c r="L91" s="164">
        <v>160000</v>
      </c>
      <c r="M91" s="164">
        <v>140000</v>
      </c>
      <c r="O91" s="109"/>
      <c r="P91" s="109"/>
      <c r="S91" s="108"/>
      <c r="T91" s="108"/>
    </row>
    <row r="92" spans="1:20" ht="18.75" hidden="1" customHeight="1">
      <c r="A92" s="162" t="s">
        <v>167</v>
      </c>
      <c r="B92" s="163">
        <v>8.48E-2</v>
      </c>
      <c r="C92" s="164">
        <v>25440</v>
      </c>
      <c r="D92" s="164">
        <v>21840</v>
      </c>
      <c r="E92" s="163">
        <v>3.8699999999999998E-2</v>
      </c>
      <c r="F92" s="164">
        <v>10800</v>
      </c>
      <c r="G92" s="164">
        <v>9120</v>
      </c>
      <c r="H92" s="163">
        <v>2.7300000000000001E-2</v>
      </c>
      <c r="I92" s="164">
        <v>10320</v>
      </c>
      <c r="J92" s="164">
        <v>6000</v>
      </c>
      <c r="K92" s="164">
        <v>520000</v>
      </c>
      <c r="L92" s="164">
        <v>170000</v>
      </c>
      <c r="M92" s="164">
        <v>160000</v>
      </c>
      <c r="O92" s="109"/>
      <c r="P92" s="109"/>
      <c r="S92" s="108"/>
      <c r="T92" s="108"/>
    </row>
    <row r="93" spans="1:20" ht="18.75" hidden="1" customHeight="1">
      <c r="A93" s="162" t="s">
        <v>168</v>
      </c>
      <c r="B93" s="163">
        <v>8.8900000000000007E-2</v>
      </c>
      <c r="C93" s="164">
        <v>26640</v>
      </c>
      <c r="D93" s="164">
        <v>22560</v>
      </c>
      <c r="E93" s="163">
        <v>3.4299999999999997E-2</v>
      </c>
      <c r="F93" s="164">
        <v>10080</v>
      </c>
      <c r="G93" s="164">
        <v>8640</v>
      </c>
      <c r="H93" s="163">
        <v>2.9499999999999998E-2</v>
      </c>
      <c r="I93" s="164">
        <v>10800</v>
      </c>
      <c r="J93" s="164">
        <v>6480</v>
      </c>
      <c r="K93" s="164">
        <v>540000</v>
      </c>
      <c r="L93" s="164">
        <v>190000</v>
      </c>
      <c r="M93" s="164">
        <v>160000</v>
      </c>
      <c r="O93" s="109"/>
      <c r="P93" s="109"/>
      <c r="S93" s="108"/>
      <c r="T93" s="108"/>
    </row>
    <row r="94" spans="1:20" ht="18.75" hidden="1" customHeight="1">
      <c r="A94" s="132" t="s">
        <v>174</v>
      </c>
      <c r="B94" s="154">
        <v>9.0899999999999995E-2</v>
      </c>
      <c r="C94" s="153">
        <v>26640</v>
      </c>
      <c r="D94" s="153">
        <v>22080</v>
      </c>
      <c r="E94" s="154">
        <v>3.3799999999999997E-2</v>
      </c>
      <c r="F94" s="153">
        <v>9840</v>
      </c>
      <c r="G94" s="153">
        <v>8160</v>
      </c>
      <c r="H94" s="154">
        <v>3.3000000000000002E-2</v>
      </c>
      <c r="I94" s="153">
        <v>11520</v>
      </c>
      <c r="J94" s="153">
        <v>6720</v>
      </c>
      <c r="K94" s="153">
        <v>540000</v>
      </c>
      <c r="L94" s="153">
        <v>190000</v>
      </c>
      <c r="M94" s="153">
        <v>160000</v>
      </c>
      <c r="O94" s="109"/>
      <c r="P94" s="109"/>
      <c r="S94" s="108"/>
      <c r="T94" s="108"/>
    </row>
    <row r="95" spans="1:20" ht="18.75" hidden="1" customHeight="1">
      <c r="A95" s="162"/>
      <c r="B95" s="163"/>
      <c r="C95" s="164"/>
      <c r="D95" s="164"/>
      <c r="E95" s="163"/>
      <c r="F95" s="164"/>
      <c r="G95" s="164"/>
      <c r="H95" s="163"/>
      <c r="I95" s="164"/>
      <c r="J95" s="164"/>
      <c r="K95" s="164"/>
      <c r="L95" s="164"/>
      <c r="M95" s="164"/>
      <c r="O95" s="109"/>
      <c r="P95" s="109"/>
      <c r="S95" s="108"/>
      <c r="T95" s="108"/>
    </row>
    <row r="96" spans="1:20" ht="18.75" hidden="1" customHeight="1">
      <c r="A96" s="162"/>
      <c r="B96" s="163"/>
      <c r="C96" s="164"/>
      <c r="D96" s="164"/>
      <c r="E96" s="163"/>
      <c r="F96" s="164"/>
      <c r="G96" s="164"/>
      <c r="H96" s="163"/>
      <c r="I96" s="164"/>
      <c r="J96" s="164"/>
      <c r="K96" s="164"/>
      <c r="L96" s="164"/>
      <c r="M96" s="164"/>
      <c r="O96" s="109"/>
      <c r="P96" s="109"/>
      <c r="S96" s="108"/>
      <c r="T96" s="108"/>
    </row>
    <row r="97" spans="1:20" ht="18.75" hidden="1" customHeight="1">
      <c r="A97" s="162"/>
      <c r="B97" s="163"/>
      <c r="C97" s="164"/>
      <c r="D97" s="164"/>
      <c r="E97" s="163"/>
      <c r="F97" s="164"/>
      <c r="G97" s="164"/>
      <c r="H97" s="163"/>
      <c r="I97" s="164"/>
      <c r="J97" s="164"/>
      <c r="K97" s="164"/>
      <c r="L97" s="164"/>
      <c r="M97" s="164"/>
      <c r="O97" s="109"/>
      <c r="P97" s="109"/>
      <c r="S97" s="108"/>
      <c r="T97" s="108"/>
    </row>
    <row r="98" spans="1:20" ht="18.75" hidden="1" customHeight="1">
      <c r="A98" s="132"/>
      <c r="B98" s="132"/>
      <c r="C98" s="153"/>
      <c r="D98" s="153"/>
      <c r="E98" s="132"/>
      <c r="F98" s="153"/>
      <c r="G98" s="153"/>
      <c r="H98" s="132"/>
      <c r="I98" s="153"/>
      <c r="J98" s="153"/>
      <c r="K98" s="153"/>
      <c r="L98" s="153"/>
      <c r="M98" s="153"/>
      <c r="O98" s="109"/>
      <c r="P98" s="109"/>
      <c r="S98" s="108"/>
      <c r="T98" s="108"/>
    </row>
    <row r="99" spans="1:20" ht="18.75" hidden="1" customHeight="1">
      <c r="O99" s="109"/>
      <c r="P99" s="109"/>
      <c r="S99" s="108"/>
      <c r="T99" s="108"/>
    </row>
    <row r="100" spans="1:20" ht="18.75" hidden="1" customHeight="1"/>
    <row r="101" spans="1:20" ht="18.75" hidden="1" customHeight="1">
      <c r="A101" s="182"/>
      <c r="B101" s="182"/>
      <c r="C101" s="182"/>
      <c r="D101" s="182"/>
      <c r="E101" s="182" t="s">
        <v>184</v>
      </c>
      <c r="F101" s="182"/>
      <c r="G101" s="182"/>
      <c r="H101" s="182"/>
      <c r="I101" s="182"/>
      <c r="J101" s="182"/>
      <c r="K101" s="182"/>
      <c r="L101" s="182"/>
    </row>
    <row r="102" spans="1:20" ht="18.75" hidden="1" customHeight="1" thickBot="1">
      <c r="A102" s="182"/>
      <c r="B102" s="182"/>
      <c r="C102" s="182"/>
      <c r="D102" s="182"/>
      <c r="E102" s="183">
        <v>270000</v>
      </c>
      <c r="F102" s="183">
        <v>490000</v>
      </c>
      <c r="G102" s="182"/>
      <c r="H102" s="182"/>
      <c r="I102" s="182"/>
      <c r="J102" s="182"/>
      <c r="K102" s="182"/>
      <c r="L102" s="182"/>
    </row>
    <row r="103" spans="1:20" ht="18.75" hidden="1" customHeight="1">
      <c r="A103" s="187" t="s">
        <v>185</v>
      </c>
      <c r="B103" s="188"/>
      <c r="C103" s="188"/>
      <c r="D103" s="188" t="s">
        <v>186</v>
      </c>
      <c r="E103" s="188" t="s">
        <v>187</v>
      </c>
      <c r="F103" s="188" t="s">
        <v>188</v>
      </c>
      <c r="G103" s="188"/>
      <c r="H103" s="188"/>
      <c r="I103" s="188"/>
      <c r="J103" s="188"/>
      <c r="K103" s="188"/>
      <c r="L103" s="189"/>
    </row>
    <row r="104" spans="1:20" ht="18.75" hidden="1" customHeight="1">
      <c r="A104" s="190" t="s">
        <v>189</v>
      </c>
      <c r="B104" s="184"/>
      <c r="C104" s="184">
        <v>1</v>
      </c>
      <c r="D104" s="185">
        <v>330000</v>
      </c>
      <c r="E104" s="185">
        <v>600000</v>
      </c>
      <c r="F104" s="185">
        <v>820000</v>
      </c>
      <c r="G104" s="184"/>
      <c r="H104" s="184"/>
      <c r="I104" s="184"/>
      <c r="J104" s="184"/>
      <c r="K104" s="184"/>
      <c r="L104" s="191"/>
    </row>
    <row r="105" spans="1:20" ht="18.75" hidden="1" customHeight="1">
      <c r="A105" s="192">
        <f>$B$16</f>
        <v>0</v>
      </c>
      <c r="B105" s="184"/>
      <c r="C105" s="184">
        <v>2</v>
      </c>
      <c r="D105" s="186">
        <f>D104</f>
        <v>330000</v>
      </c>
      <c r="E105" s="186">
        <f>E104+$E$102</f>
        <v>870000</v>
      </c>
      <c r="F105" s="186">
        <f>F104+$F$102</f>
        <v>1310000</v>
      </c>
      <c r="G105" s="184"/>
      <c r="H105" s="184"/>
      <c r="I105" s="184"/>
      <c r="J105" s="184"/>
      <c r="K105" s="184"/>
      <c r="L105" s="191"/>
    </row>
    <row r="106" spans="1:20" ht="18.75" hidden="1" customHeight="1">
      <c r="A106" s="190"/>
      <c r="B106" s="184"/>
      <c r="C106" s="184">
        <v>3</v>
      </c>
      <c r="D106" s="186">
        <f t="shared" ref="D106" si="72">D105</f>
        <v>330000</v>
      </c>
      <c r="E106" s="186">
        <f t="shared" ref="E106:E112" si="73">E105+$E$102</f>
        <v>1140000</v>
      </c>
      <c r="F106" s="186">
        <f t="shared" ref="F106:F112" si="74">F105+$F$102</f>
        <v>1800000</v>
      </c>
      <c r="G106" s="184"/>
      <c r="H106" s="184"/>
      <c r="I106" s="184"/>
      <c r="J106" s="184"/>
      <c r="K106" s="184"/>
      <c r="L106" s="191"/>
    </row>
    <row r="107" spans="1:20" ht="18.75" hidden="1" customHeight="1">
      <c r="A107" s="190" t="s">
        <v>190</v>
      </c>
      <c r="B107" s="184"/>
      <c r="C107" s="184">
        <v>4</v>
      </c>
      <c r="D107" s="186">
        <f>D106</f>
        <v>330000</v>
      </c>
      <c r="E107" s="186">
        <f t="shared" si="73"/>
        <v>1410000</v>
      </c>
      <c r="F107" s="186">
        <f t="shared" si="74"/>
        <v>2290000</v>
      </c>
      <c r="G107" s="184"/>
      <c r="H107" s="184"/>
      <c r="I107" s="184"/>
      <c r="J107" s="184"/>
      <c r="K107" s="184"/>
      <c r="L107" s="191"/>
    </row>
    <row r="108" spans="1:20" ht="18.75" hidden="1" customHeight="1">
      <c r="A108" s="193">
        <f>$C$16</f>
        <v>0</v>
      </c>
      <c r="B108" s="184"/>
      <c r="C108" s="184">
        <v>5</v>
      </c>
      <c r="D108" s="186">
        <f>D107</f>
        <v>330000</v>
      </c>
      <c r="E108" s="186">
        <f t="shared" si="73"/>
        <v>1680000</v>
      </c>
      <c r="F108" s="186">
        <f t="shared" si="74"/>
        <v>2780000</v>
      </c>
      <c r="G108" s="184"/>
      <c r="H108" s="184"/>
      <c r="I108" s="184"/>
      <c r="J108" s="184"/>
      <c r="K108" s="184"/>
      <c r="L108" s="191"/>
    </row>
    <row r="109" spans="1:20" ht="18.75" hidden="1" customHeight="1">
      <c r="A109" s="193"/>
      <c r="B109" s="184"/>
      <c r="C109" s="184">
        <v>6</v>
      </c>
      <c r="D109" s="186">
        <f t="shared" ref="D109:D112" si="75">D108</f>
        <v>330000</v>
      </c>
      <c r="E109" s="186">
        <f t="shared" si="73"/>
        <v>1950000</v>
      </c>
      <c r="F109" s="186">
        <f t="shared" si="74"/>
        <v>3270000</v>
      </c>
      <c r="G109" s="184"/>
      <c r="H109" s="184"/>
      <c r="I109" s="184"/>
      <c r="J109" s="184"/>
      <c r="K109" s="184"/>
      <c r="L109" s="191"/>
    </row>
    <row r="110" spans="1:20" ht="18.75" hidden="1" customHeight="1">
      <c r="A110" s="193"/>
      <c r="B110" s="184"/>
      <c r="C110" s="184">
        <v>7</v>
      </c>
      <c r="D110" s="186">
        <f t="shared" si="75"/>
        <v>330000</v>
      </c>
      <c r="E110" s="186">
        <f t="shared" si="73"/>
        <v>2220000</v>
      </c>
      <c r="F110" s="186">
        <f t="shared" si="74"/>
        <v>3760000</v>
      </c>
      <c r="G110" s="184"/>
      <c r="H110" s="184"/>
      <c r="I110" s="184"/>
      <c r="J110" s="184"/>
      <c r="K110" s="184"/>
      <c r="L110" s="191"/>
    </row>
    <row r="111" spans="1:20" ht="18.75" hidden="1" customHeight="1">
      <c r="A111" s="193"/>
      <c r="B111" s="184"/>
      <c r="C111" s="184">
        <v>8</v>
      </c>
      <c r="D111" s="186">
        <f t="shared" si="75"/>
        <v>330000</v>
      </c>
      <c r="E111" s="186">
        <f t="shared" si="73"/>
        <v>2490000</v>
      </c>
      <c r="F111" s="186">
        <f t="shared" si="74"/>
        <v>4250000</v>
      </c>
      <c r="G111" s="184"/>
      <c r="H111" s="184"/>
      <c r="I111" s="184"/>
      <c r="J111" s="184"/>
      <c r="K111" s="184"/>
      <c r="L111" s="191"/>
    </row>
    <row r="112" spans="1:20" ht="18.75" hidden="1" customHeight="1">
      <c r="A112" s="193"/>
      <c r="B112" s="184"/>
      <c r="C112" s="184">
        <v>9</v>
      </c>
      <c r="D112" s="186">
        <f t="shared" si="75"/>
        <v>330000</v>
      </c>
      <c r="E112" s="186">
        <f t="shared" si="73"/>
        <v>2760000</v>
      </c>
      <c r="F112" s="186">
        <f t="shared" si="74"/>
        <v>4740000</v>
      </c>
      <c r="G112" s="184"/>
      <c r="H112" s="184"/>
      <c r="I112" s="184"/>
      <c r="J112" s="184"/>
      <c r="K112" s="184"/>
      <c r="L112" s="191"/>
    </row>
    <row r="113" spans="1:54" ht="18.75" hidden="1" customHeight="1">
      <c r="A113" s="190"/>
      <c r="B113" s="184"/>
      <c r="C113" s="184"/>
      <c r="D113" s="184"/>
      <c r="E113" s="184"/>
      <c r="F113" s="184"/>
      <c r="G113" s="184" t="s">
        <v>191</v>
      </c>
      <c r="H113" s="184"/>
      <c r="I113" s="184"/>
      <c r="J113" s="184"/>
      <c r="K113" s="184"/>
      <c r="L113" s="191"/>
    </row>
    <row r="114" spans="1:54" ht="18.75" hidden="1" customHeight="1">
      <c r="A114" s="190" t="s">
        <v>192</v>
      </c>
      <c r="B114" s="184"/>
      <c r="C114" s="184">
        <v>1</v>
      </c>
      <c r="D114" s="184">
        <f>IF($A$108&lt;=D104,7,0)</f>
        <v>7</v>
      </c>
      <c r="E114" s="184">
        <f>IF($A$108&lt;=E104,5,0)</f>
        <v>5</v>
      </c>
      <c r="F114" s="184">
        <f>IF($A$108&lt;=F104,2,0)</f>
        <v>2</v>
      </c>
      <c r="G114" s="184">
        <f>MAX(D114:F114)</f>
        <v>7</v>
      </c>
      <c r="H114" s="184"/>
      <c r="I114" s="184"/>
      <c r="J114" s="184">
        <v>0</v>
      </c>
      <c r="K114" s="184" t="s">
        <v>31</v>
      </c>
      <c r="L114" s="191"/>
    </row>
    <row r="115" spans="1:54" ht="18.75" hidden="1" customHeight="1">
      <c r="A115" s="190" t="e">
        <f>VLOOKUP(A105,C114:G122,5,FALSE)</f>
        <v>#N/A</v>
      </c>
      <c r="B115" s="184"/>
      <c r="C115" s="184">
        <v>2</v>
      </c>
      <c r="D115" s="184">
        <f t="shared" ref="D115:D122" si="76">IF($A$108&lt;=D105,7,0)</f>
        <v>7</v>
      </c>
      <c r="E115" s="184">
        <f t="shared" ref="E115:E122" si="77">IF($A$108&lt;=E105,5,0)</f>
        <v>5</v>
      </c>
      <c r="F115" s="184">
        <f t="shared" ref="F115:F122" si="78">IF($A$108&lt;=F105,2,0)</f>
        <v>2</v>
      </c>
      <c r="G115" s="184">
        <f t="shared" ref="G115:G118" si="79">MAX(D115:F115)</f>
        <v>7</v>
      </c>
      <c r="H115" s="184"/>
      <c r="I115" s="184"/>
      <c r="J115" s="184">
        <v>7</v>
      </c>
      <c r="K115" s="184" t="s">
        <v>195</v>
      </c>
      <c r="L115" s="191"/>
    </row>
    <row r="116" spans="1:54" ht="18.75" hidden="1" customHeight="1">
      <c r="A116" s="190"/>
      <c r="B116" s="184"/>
      <c r="C116" s="184">
        <v>3</v>
      </c>
      <c r="D116" s="184">
        <f t="shared" si="76"/>
        <v>7</v>
      </c>
      <c r="E116" s="184">
        <f t="shared" si="77"/>
        <v>5</v>
      </c>
      <c r="F116" s="184">
        <f t="shared" si="78"/>
        <v>2</v>
      </c>
      <c r="G116" s="184">
        <f t="shared" si="79"/>
        <v>7</v>
      </c>
      <c r="H116" s="184"/>
      <c r="I116" s="184"/>
      <c r="J116" s="184">
        <v>5</v>
      </c>
      <c r="K116" s="184" t="s">
        <v>194</v>
      </c>
      <c r="L116" s="191"/>
    </row>
    <row r="117" spans="1:54" ht="18.75" hidden="1" customHeight="1">
      <c r="A117" s="190"/>
      <c r="B117" s="184"/>
      <c r="C117" s="184">
        <v>4</v>
      </c>
      <c r="D117" s="184">
        <f t="shared" si="76"/>
        <v>7</v>
      </c>
      <c r="E117" s="184">
        <f t="shared" si="77"/>
        <v>5</v>
      </c>
      <c r="F117" s="184">
        <f t="shared" si="78"/>
        <v>2</v>
      </c>
      <c r="G117" s="184">
        <f t="shared" si="79"/>
        <v>7</v>
      </c>
      <c r="H117" s="184"/>
      <c r="I117" s="184"/>
      <c r="J117" s="184">
        <v>2</v>
      </c>
      <c r="K117" s="184" t="s">
        <v>193</v>
      </c>
      <c r="L117" s="191"/>
    </row>
    <row r="118" spans="1:54" ht="18.75" hidden="1" customHeight="1">
      <c r="A118" s="190"/>
      <c r="B118" s="184"/>
      <c r="C118" s="184">
        <v>5</v>
      </c>
      <c r="D118" s="184">
        <f t="shared" si="76"/>
        <v>7</v>
      </c>
      <c r="E118" s="184">
        <f t="shared" si="77"/>
        <v>5</v>
      </c>
      <c r="F118" s="184">
        <f t="shared" si="78"/>
        <v>2</v>
      </c>
      <c r="G118" s="184">
        <f t="shared" si="79"/>
        <v>7</v>
      </c>
      <c r="H118" s="184"/>
      <c r="I118" s="184"/>
      <c r="J118" s="184"/>
      <c r="K118" s="184"/>
      <c r="L118" s="191"/>
    </row>
    <row r="119" spans="1:54" ht="18.75" hidden="1" customHeight="1">
      <c r="A119" s="194"/>
      <c r="B119" s="127"/>
      <c r="C119" s="184">
        <v>6</v>
      </c>
      <c r="D119" s="184">
        <f t="shared" si="76"/>
        <v>7</v>
      </c>
      <c r="E119" s="184">
        <f t="shared" si="77"/>
        <v>5</v>
      </c>
      <c r="F119" s="184">
        <f t="shared" si="78"/>
        <v>2</v>
      </c>
      <c r="G119" s="184">
        <f t="shared" ref="G119:G122" si="80">MAX(D119:F119)</f>
        <v>7</v>
      </c>
      <c r="H119" s="127"/>
      <c r="I119" s="127"/>
      <c r="J119" s="127"/>
      <c r="K119" s="127"/>
      <c r="L119" s="195"/>
    </row>
    <row r="120" spans="1:54" ht="18.75" hidden="1" customHeight="1">
      <c r="A120" s="194"/>
      <c r="B120" s="127"/>
      <c r="C120" s="184">
        <v>7</v>
      </c>
      <c r="D120" s="184">
        <f t="shared" si="76"/>
        <v>7</v>
      </c>
      <c r="E120" s="184">
        <f t="shared" si="77"/>
        <v>5</v>
      </c>
      <c r="F120" s="184">
        <f t="shared" si="78"/>
        <v>2</v>
      </c>
      <c r="G120" s="184">
        <f t="shared" si="80"/>
        <v>7</v>
      </c>
      <c r="H120" s="127"/>
      <c r="I120" s="127"/>
      <c r="J120" s="127"/>
      <c r="K120" s="127"/>
      <c r="L120" s="195"/>
    </row>
    <row r="121" spans="1:54" ht="18.75" hidden="1" customHeight="1">
      <c r="A121" s="194"/>
      <c r="B121" s="127"/>
      <c r="C121" s="184">
        <v>8</v>
      </c>
      <c r="D121" s="184">
        <f t="shared" si="76"/>
        <v>7</v>
      </c>
      <c r="E121" s="184">
        <f t="shared" si="77"/>
        <v>5</v>
      </c>
      <c r="F121" s="184">
        <f t="shared" si="78"/>
        <v>2</v>
      </c>
      <c r="G121" s="184">
        <f t="shared" si="80"/>
        <v>7</v>
      </c>
      <c r="H121" s="127"/>
      <c r="I121" s="127"/>
      <c r="J121" s="127"/>
      <c r="K121" s="127"/>
      <c r="L121" s="195"/>
    </row>
    <row r="122" spans="1:54" ht="18.75" hidden="1" customHeight="1" thickBot="1">
      <c r="A122" s="196"/>
      <c r="B122" s="197"/>
      <c r="C122" s="198">
        <v>9</v>
      </c>
      <c r="D122" s="198">
        <f t="shared" si="76"/>
        <v>7</v>
      </c>
      <c r="E122" s="198">
        <f t="shared" si="77"/>
        <v>5</v>
      </c>
      <c r="F122" s="198">
        <f t="shared" si="78"/>
        <v>2</v>
      </c>
      <c r="G122" s="198">
        <f t="shared" si="80"/>
        <v>7</v>
      </c>
      <c r="H122" s="197"/>
      <c r="I122" s="197"/>
      <c r="J122" s="197"/>
      <c r="K122" s="197"/>
      <c r="L122" s="199"/>
    </row>
    <row r="123" spans="1:54" ht="18.75" hidden="1" customHeight="1"/>
    <row r="124" spans="1:54" ht="18.75" customHeight="1"/>
    <row r="125" spans="1:54" ht="18.75" customHeight="1">
      <c r="B125" s="205" t="str">
        <f>IF(OR(B7="",C7=""),"【入力エラー】世帯主Aの　軽減判定対象　と　軽減判定基準所得　は必ず入力してください。","")</f>
        <v>【入力エラー】世帯主Aの　軽減判定対象　と　軽減判定基準所得　は必ず入力してください。</v>
      </c>
      <c r="M125" s="212" t="s">
        <v>199</v>
      </c>
      <c r="N125" s="213"/>
      <c r="O125" s="214" t="e">
        <f>"約　"&amp;FIXED(ROUNDUP(P40,-3),0)&amp;"　円"</f>
        <v>#N/A</v>
      </c>
      <c r="P125" s="215"/>
      <c r="Q125" s="209"/>
    </row>
    <row r="126" spans="1:54" ht="18.75" customHeight="1">
      <c r="K126" s="204"/>
      <c r="L126" s="204"/>
      <c r="P126" s="206" t="s">
        <v>201</v>
      </c>
      <c r="Q126" s="208"/>
      <c r="R126" s="207"/>
      <c r="S126" s="207"/>
      <c r="BB126" s="127"/>
    </row>
    <row r="127" spans="1:54" ht="18.75" customHeight="1"/>
    <row r="128" spans="1:54" ht="18.75" customHeight="1"/>
  </sheetData>
  <sheetProtection password="E1A7" sheet="1" objects="1" scenarios="1" selectLockedCells="1"/>
  <mergeCells count="31">
    <mergeCell ref="J39:K39"/>
    <mergeCell ref="D38:E38"/>
    <mergeCell ref="G38:H38"/>
    <mergeCell ref="A45:A46"/>
    <mergeCell ref="D45:D46"/>
    <mergeCell ref="E45:E46"/>
    <mergeCell ref="F45:F46"/>
    <mergeCell ref="G39:H39"/>
    <mergeCell ref="D39:E39"/>
    <mergeCell ref="G40:H40"/>
    <mergeCell ref="J40:K40"/>
    <mergeCell ref="A58:A60"/>
    <mergeCell ref="E58:F58"/>
    <mergeCell ref="H68:H71"/>
    <mergeCell ref="G45:G46"/>
    <mergeCell ref="A4:P4"/>
    <mergeCell ref="M125:N125"/>
    <mergeCell ref="O125:P125"/>
    <mergeCell ref="J38:K38"/>
    <mergeCell ref="P24:P25"/>
    <mergeCell ref="A24:A25"/>
    <mergeCell ref="D24:F24"/>
    <mergeCell ref="G24:I24"/>
    <mergeCell ref="J24:L24"/>
    <mergeCell ref="M24:M25"/>
    <mergeCell ref="N24:N25"/>
    <mergeCell ref="O24:O25"/>
    <mergeCell ref="A38:A40"/>
    <mergeCell ref="N39:O39"/>
    <mergeCell ref="N40:O40"/>
    <mergeCell ref="D40:E40"/>
  </mergeCells>
  <phoneticPr fontId="1"/>
  <dataValidations count="9">
    <dataValidation type="list" allowBlank="1" showInputMessage="1" showErrorMessage="1" sqref="D20">
      <formula1>$B$74:$B$76</formula1>
    </dataValidation>
    <dataValidation type="list" imeMode="disabled" allowBlank="1" showInputMessage="1" showErrorMessage="1" prompt="40～64歳までの方は、●（介護）_x000a_それ以外の方は、○" sqref="E7:P15">
      <formula1>$U$2:$U$4</formula1>
    </dataValidation>
    <dataValidation imeMode="disabled" allowBlank="1" showInputMessage="1" showErrorMessage="1" sqref="Q7:T15 Q20:T20"/>
    <dataValidation type="list" imeMode="disabled" allowBlank="1" showInputMessage="1" showErrorMessage="1" sqref="E20:P20">
      <formula1>$U$2:$U$3</formula1>
    </dataValidation>
    <dataValidation type="list" allowBlank="1" showInputMessage="1" showErrorMessage="1" sqref="D1">
      <formula1>$A$87:$A$98</formula1>
    </dataValidation>
    <dataValidation type="list" imeMode="disabled" allowBlank="1" showInputMessage="1" showErrorMessage="1" prompt="年度当初（4月1日　※途中加入の場合は最初の加入者の加入日時点）から国保に加入者しえｔいるの場合は　○　を入力。" sqref="B8:B15">
      <formula1>$W$2:$X$2</formula1>
    </dataValidation>
    <dataValidation type="list" imeMode="disabled" allowBlank="1" showInputMessage="1" showErrorMessage="1" prompt="年度当初（4月1日　※途中加入の場合は最初の加入者の加入日時点）世帯主が国保加入者の場合は　○　、そうでない場合（世帯主は社保加入者等）は　擬制世帯主　を入力。" sqref="B7">
      <formula1>$W$2:$W$3</formula1>
    </dataValidation>
    <dataValidation imeMode="disabled" allowBlank="1" showInputMessage="1" showErrorMessage="1" prompt="下記の注意点②軽減判定基準所得をご確認の上、入力してください。" sqref="C7:C15"/>
    <dataValidation imeMode="disabled" allowBlank="1" showInputMessage="1" showErrorMessage="1" prompt="下記の注意点③総所得金額をご確認の上、入力してください。" sqref="D7:D15"/>
  </dataValidations>
  <printOptions verticalCentered="1"/>
  <pageMargins left="0.78740157480314965" right="0.39370078740157483" top="0.19685039370078741" bottom="0.19685039370078741" header="0.31496062992125984" footer="0.31496062992125984"/>
  <pageSetup paperSize="9" scale="62" orientation="portrait" verticalDpi="0" r:id="rId1"/>
  <drawing r:id="rId2"/>
</worksheet>
</file>

<file path=xl/worksheets/sheet2.xml><?xml version="1.0" encoding="utf-8"?>
<worksheet xmlns="http://schemas.openxmlformats.org/spreadsheetml/2006/main" xmlns:r="http://schemas.openxmlformats.org/officeDocument/2006/relationships">
  <sheetPr codeName="Sheet7"/>
  <dimension ref="A1:AC15"/>
  <sheetViews>
    <sheetView zoomScaleNormal="100" workbookViewId="0">
      <selection activeCell="B2" sqref="B2"/>
    </sheetView>
  </sheetViews>
  <sheetFormatPr defaultRowHeight="13.5"/>
  <sheetData>
    <row r="1" spans="1:29">
      <c r="A1" s="98" t="s">
        <v>41</v>
      </c>
      <c r="B1" t="s">
        <v>44</v>
      </c>
      <c r="C1" t="s">
        <v>45</v>
      </c>
      <c r="D1" t="s">
        <v>46</v>
      </c>
      <c r="E1" t="s">
        <v>47</v>
      </c>
      <c r="F1" t="s">
        <v>49</v>
      </c>
      <c r="G1" t="s">
        <v>48</v>
      </c>
      <c r="H1" t="s">
        <v>50</v>
      </c>
      <c r="I1" t="s">
        <v>51</v>
      </c>
      <c r="K1" s="98" t="s">
        <v>42</v>
      </c>
      <c r="L1" t="s">
        <v>44</v>
      </c>
      <c r="M1" t="s">
        <v>45</v>
      </c>
      <c r="N1" t="s">
        <v>46</v>
      </c>
      <c r="O1" t="s">
        <v>47</v>
      </c>
      <c r="P1" t="s">
        <v>49</v>
      </c>
      <c r="Q1" t="s">
        <v>48</v>
      </c>
      <c r="R1" t="s">
        <v>50</v>
      </c>
      <c r="S1" t="s">
        <v>51</v>
      </c>
      <c r="U1" s="98" t="s">
        <v>43</v>
      </c>
      <c r="V1" t="s">
        <v>44</v>
      </c>
      <c r="W1" t="s">
        <v>45</v>
      </c>
      <c r="X1" t="s">
        <v>46</v>
      </c>
      <c r="Y1" t="s">
        <v>47</v>
      </c>
      <c r="Z1" t="s">
        <v>49</v>
      </c>
      <c r="AA1" t="s">
        <v>48</v>
      </c>
      <c r="AB1" t="s">
        <v>50</v>
      </c>
      <c r="AC1" t="s">
        <v>51</v>
      </c>
    </row>
    <row r="2" spans="1:29">
      <c r="A2">
        <v>4</v>
      </c>
      <c r="B2">
        <f>HLOOKUP($A2,入力!$W$6:$AH$16,11,FALSE)</f>
        <v>0</v>
      </c>
      <c r="C2">
        <f>HLOOKUP(A2,入力!$E$6:$P$16,11,FALSE)</f>
        <v>0</v>
      </c>
      <c r="D2">
        <f>HLOOKUP(A2,入力!$W$19:$AH$20,2,FALSE)</f>
        <v>1</v>
      </c>
      <c r="E2">
        <f>ROUNDDOWN(HLOOKUP($A2,入力!$W$6:$AH$15,2,FALSE)*入力!$I$69,0)+ROUNDDOWN(HLOOKUP($A2,入力!$W$6:$AH$15,3,FALSE)*入力!$I$69,0)+ROUNDDOWN(HLOOKUP($A2,入力!$W$6:$AH$15,4,FALSE)*入力!$I$69,0)+ROUNDDOWN(HLOOKUP($A2,入力!$W$6:$AH$15,5,FALSE)*入力!$I$69,0)+ROUNDDOWN(HLOOKUP($A2,入力!$W$6:$AH$15,6,FALSE)*入力!$I$69,0)+ROUNDDOWN(HLOOKUP($A2,入力!$W$6:$AH$15,7,FALSE)*入力!$I$69,0)+ROUNDDOWN(HLOOKUP($A2,入力!$W$6:$AH$15,8,FALSE)*入力!$I$69,0)+ROUNDDOWN(HLOOKUP($A2,入力!$W$6:$AH$15,9,FALSE)*入力!$I$69,0)+ROUNDDOWN(HLOOKUP($A2,入力!$W$6:$AH$15,10,FALSE)*入力!$I$69,0)</f>
        <v>0</v>
      </c>
      <c r="F2" t="e">
        <f>ROUNDDOWN(C2*入力!$I$70,0)</f>
        <v>#N/A</v>
      </c>
      <c r="G2" t="e">
        <f>ROUNDDOWN(D2*入力!$I$71,0)*IF(C2=0,0,1)</f>
        <v>#N/A</v>
      </c>
      <c r="H2" s="99" t="e">
        <f>IF(E2+F2+G2-入力!$B$69&lt;0,0,E2+F2+G2-入力!$B$69)</f>
        <v>#N/A</v>
      </c>
      <c r="I2" s="99" t="e">
        <f>E2+F2+G2-H2</f>
        <v>#N/A</v>
      </c>
      <c r="K2">
        <v>4</v>
      </c>
      <c r="L2">
        <f>B2</f>
        <v>0</v>
      </c>
      <c r="M2">
        <f>C2</f>
        <v>0</v>
      </c>
      <c r="N2">
        <f>D2</f>
        <v>1</v>
      </c>
      <c r="O2">
        <f>ROUNDDOWN(HLOOKUP($A2,入力!$W$6:$AH$15,2,FALSE)*入力!$J$69,0)+ROUNDDOWN(HLOOKUP($A2,入力!$W$6:$AH$15,3,FALSE)*入力!$J$69,0)+ROUNDDOWN(HLOOKUP($A2,入力!$W$6:$AH$15,4,FALSE)*入力!$J$69,0)+ROUNDDOWN(HLOOKUP($A2,入力!$W$6:$AH$15,5,FALSE)*入力!$J$69,0)+ROUNDDOWN(HLOOKUP($A2,入力!$W$6:$AH$15,6,FALSE)*入力!$J$69,0)+ROUNDDOWN(HLOOKUP($A2,入力!$W$6:$AH$15,7,FALSE)*入力!$J$69,0)+ROUNDDOWN(HLOOKUP($A2,入力!$W$6:$AH$15,8,FALSE)*入力!$J$69,0)+ROUNDDOWN(HLOOKUP($A2,入力!$W$6:$AH$15,9,FALSE)*入力!$J$69,0)+ROUNDDOWN(HLOOKUP($A2,入力!$W$6:$AH$15,10,FALSE)*入力!$J$69,0)</f>
        <v>0</v>
      </c>
      <c r="P2" t="e">
        <f>ROUNDDOWN(M2*入力!$J$70,0)</f>
        <v>#N/A</v>
      </c>
      <c r="Q2" t="e">
        <f>ROUNDDOWN(N2*入力!$J$71,0)*IF(M2=0,0,1)</f>
        <v>#N/A</v>
      </c>
      <c r="R2" s="99" t="e">
        <f>IF(O2+P2+Q2-入力!$B$70&lt;0,0,O2+P2+Q2-入力!$B$70)</f>
        <v>#N/A</v>
      </c>
      <c r="S2" s="99" t="e">
        <f>O2+P2+Q2-R2</f>
        <v>#N/A</v>
      </c>
      <c r="U2">
        <v>4</v>
      </c>
      <c r="V2">
        <f>HLOOKUP(U2,入力!$AJ$6:$AU$16,11,FALSE)</f>
        <v>0</v>
      </c>
      <c r="W2">
        <f>HLOOKUP(U2,入力!$E$6:$P$20,12,FALSE)</f>
        <v>0</v>
      </c>
      <c r="X2">
        <v>1</v>
      </c>
      <c r="Y2">
        <f>ROUNDDOWN(HLOOKUP($A2,入力!$AJ$6:$AU$15,2,FALSE)*入力!$K$69,0)+ROUNDDOWN(HLOOKUP($A2,入力!$AJ$6:$AU$15,3,FALSE)*入力!$K$69,0)+ROUNDDOWN(HLOOKUP($A2,入力!$AJ$6:$AU$15,4,FALSE)*入力!$K$69,0)+ROUNDDOWN(HLOOKUP($A2,入力!$AJ$6:$AU$15,5,FALSE)*入力!$K$69,0)+ROUNDDOWN(HLOOKUP($A2,入力!$AJ$6:$AU$15,6,FALSE)*入力!$K$69,0)+ROUNDDOWN(HLOOKUP($A2,入力!$AJ$6:$AU$15,7,FALSE)*入力!$K$69,0)+ROUNDDOWN(HLOOKUP($A2,入力!$AJ$6:$AU$15,8,FALSE)*入力!$K$69,0)+ROUNDDOWN(HLOOKUP($A2,入力!$AJ$6:$AU$15,9,FALSE)*入力!$K$69,0)+ROUNDDOWN(HLOOKUP($A2,入力!$AJ$6:$AU$15,10,FALSE)*入力!$K$69,0)</f>
        <v>0</v>
      </c>
      <c r="Z2" t="e">
        <f>ROUNDDOWN(W2*入力!$K$70,0)</f>
        <v>#N/A</v>
      </c>
      <c r="AA2" t="e">
        <f>ROUNDDOWN(X2*入力!$K$71,0)*IF(W2=0,0,1)</f>
        <v>#N/A</v>
      </c>
      <c r="AB2" s="99" t="e">
        <f>IF(Y2+Z2+AA2-入力!$B$71&lt;0,0,Y2+Z2+AA2-入力!$B$71)</f>
        <v>#N/A</v>
      </c>
      <c r="AC2" s="99" t="e">
        <f>Y2+Z2+AA2-AB2</f>
        <v>#N/A</v>
      </c>
    </row>
    <row r="3" spans="1:29">
      <c r="A3">
        <v>5</v>
      </c>
      <c r="B3">
        <f>HLOOKUP($A3,入力!$W$6:$AH$16,11,FALSE)</f>
        <v>0</v>
      </c>
      <c r="C3">
        <f>HLOOKUP(A3,入力!$E$6:$P$16,11,FALSE)</f>
        <v>0</v>
      </c>
      <c r="D3">
        <f>HLOOKUP(A3,入力!$W$19:$AH$20,2,FALSE)</f>
        <v>1</v>
      </c>
      <c r="E3">
        <f>ROUNDDOWN(HLOOKUP($A3,入力!$W$6:$AH$15,2,FALSE)*入力!$I$69,0)+ROUNDDOWN(HLOOKUP($A3,入力!$W$6:$AH$15,3,FALSE)*入力!$I$69,0)+ROUNDDOWN(HLOOKUP($A3,入力!$W$6:$AH$15,4,FALSE)*入力!$I$69,0)+ROUNDDOWN(HLOOKUP($A3,入力!$W$6:$AH$15,5,FALSE)*入力!$I$69,0)+ROUNDDOWN(HLOOKUP($A3,入力!$W$6:$AH$15,6,FALSE)*入力!$I$69,0)+ROUNDDOWN(HLOOKUP($A3,入力!$W$6:$AH$15,7,FALSE)*入力!$I$69,0)+ROUNDDOWN(HLOOKUP($A3,入力!$W$6:$AH$15,8,FALSE)*入力!$I$69,0)+ROUNDDOWN(HLOOKUP($A3,入力!$W$6:$AH$15,9,FALSE)*入力!$I$69,0)+ROUNDDOWN(HLOOKUP($A3,入力!$W$6:$AH$15,10,FALSE)*入力!$I$69,0)</f>
        <v>0</v>
      </c>
      <c r="F3" t="e">
        <f>ROUNDDOWN(C3*入力!$I$70,0)</f>
        <v>#N/A</v>
      </c>
      <c r="G3" t="e">
        <f>ROUNDDOWN(D3*入力!$I$71,0)*IF(C3=0,0,1)</f>
        <v>#N/A</v>
      </c>
      <c r="H3" s="99" t="e">
        <f>IF(E3+F3+G3-入力!$B$69&lt;0,0,E3+F3+G3-入力!$B$69)</f>
        <v>#N/A</v>
      </c>
      <c r="I3" s="99" t="e">
        <f t="shared" ref="I3:I13" si="0">E3+F3+G3-H3</f>
        <v>#N/A</v>
      </c>
      <c r="K3">
        <v>5</v>
      </c>
      <c r="L3">
        <f t="shared" ref="L3:L13" si="1">B3</f>
        <v>0</v>
      </c>
      <c r="M3">
        <f t="shared" ref="M3:M13" si="2">C3</f>
        <v>0</v>
      </c>
      <c r="N3">
        <f t="shared" ref="N3:N13" si="3">D3</f>
        <v>1</v>
      </c>
      <c r="O3">
        <f>ROUNDDOWN(HLOOKUP($A3,入力!$W$6:$AH$15,2,FALSE)*入力!$J$69,0)+ROUNDDOWN(HLOOKUP($A3,入力!$W$6:$AH$15,3,FALSE)*入力!$J$69,0)+ROUNDDOWN(HLOOKUP($A3,入力!$W$6:$AH$15,4,FALSE)*入力!$J$69,0)+ROUNDDOWN(HLOOKUP($A3,入力!$W$6:$AH$15,5,FALSE)*入力!$J$69,0)+ROUNDDOWN(HLOOKUP($A3,入力!$W$6:$AH$15,6,FALSE)*入力!$J$69,0)+ROUNDDOWN(HLOOKUP($A3,入力!$W$6:$AH$15,7,FALSE)*入力!$J$69,0)+ROUNDDOWN(HLOOKUP($A3,入力!$W$6:$AH$15,8,FALSE)*入力!$J$69,0)+ROUNDDOWN(HLOOKUP($A3,入力!$W$6:$AH$15,9,FALSE)*入力!$J$69,0)+ROUNDDOWN(HLOOKUP($A3,入力!$W$6:$AH$15,10,FALSE)*入力!$J$69,0)</f>
        <v>0</v>
      </c>
      <c r="P3" t="e">
        <f>ROUNDDOWN(M3*入力!$J$70,0)</f>
        <v>#N/A</v>
      </c>
      <c r="Q3" t="e">
        <f>ROUNDDOWN(N3*入力!$J$71,0)*IF(M3=0,0,1)</f>
        <v>#N/A</v>
      </c>
      <c r="R3" s="99" t="e">
        <f>IF(O3+P3+Q3-入力!$B$70&lt;0,0,O3+P3+Q3-入力!$B$70)</f>
        <v>#N/A</v>
      </c>
      <c r="S3" s="99" t="e">
        <f t="shared" ref="S3:S13" si="4">O3+P3+Q3-R3</f>
        <v>#N/A</v>
      </c>
      <c r="U3">
        <v>5</v>
      </c>
      <c r="V3">
        <f>HLOOKUP(U3,入力!$AJ$6:$AU$16,11,FALSE)</f>
        <v>0</v>
      </c>
      <c r="W3">
        <f>HLOOKUP(U3,入力!$E$6:$P$20,12,FALSE)</f>
        <v>0</v>
      </c>
      <c r="X3">
        <v>1</v>
      </c>
      <c r="Y3">
        <f>ROUNDDOWN(HLOOKUP($A3,入力!$AJ$6:$AU$15,2,FALSE)*入力!$K$69,0)+ROUNDDOWN(HLOOKUP($A3,入力!$AJ$6:$AU$15,3,FALSE)*入力!$K$69,0)+ROUNDDOWN(HLOOKUP($A3,入力!$AJ$6:$AU$15,4,FALSE)*入力!$K$69,0)+ROUNDDOWN(HLOOKUP($A3,入力!$AJ$6:$AU$15,5,FALSE)*入力!$K$69,0)+ROUNDDOWN(HLOOKUP($A3,入力!$AJ$6:$AU$15,6,FALSE)*入力!$K$69,0)+ROUNDDOWN(HLOOKUP($A3,入力!$AJ$6:$AU$15,7,FALSE)*入力!$K$69,0)+ROUNDDOWN(HLOOKUP($A3,入力!$AJ$6:$AU$15,8,FALSE)*入力!$K$69,0)+ROUNDDOWN(HLOOKUP($A3,入力!$AJ$6:$AU$15,9,FALSE)*入力!$K$69,0)+ROUNDDOWN(HLOOKUP($A3,入力!$AJ$6:$AU$15,10,FALSE)*入力!$K$69,0)</f>
        <v>0</v>
      </c>
      <c r="Z3" t="e">
        <f>ROUNDDOWN(W3*入力!$K$70,0)</f>
        <v>#N/A</v>
      </c>
      <c r="AA3" t="e">
        <f>ROUNDDOWN(X3*入力!$K$71,0)*IF(W3=0,0,1)</f>
        <v>#N/A</v>
      </c>
      <c r="AB3" s="99" t="e">
        <f>IF(Y3+Z3+AA3-入力!$B$71&lt;0,0,Y3+Z3+AA3-入力!$B$71)</f>
        <v>#N/A</v>
      </c>
      <c r="AC3" s="99" t="e">
        <f t="shared" ref="AC3:AC13" si="5">Y3+Z3+AA3-AB3</f>
        <v>#N/A</v>
      </c>
    </row>
    <row r="4" spans="1:29">
      <c r="A4">
        <v>6</v>
      </c>
      <c r="B4">
        <f>HLOOKUP($A4,入力!$W$6:$AH$16,11,FALSE)</f>
        <v>0</v>
      </c>
      <c r="C4">
        <f>HLOOKUP(A4,入力!$E$6:$P$16,11,FALSE)</f>
        <v>0</v>
      </c>
      <c r="D4">
        <f>HLOOKUP(A4,入力!$W$19:$AH$20,2,FALSE)</f>
        <v>1</v>
      </c>
      <c r="E4">
        <f>ROUNDDOWN(HLOOKUP($A4,入力!$W$6:$AH$15,2,FALSE)*入力!$I$69,0)+ROUNDDOWN(HLOOKUP($A4,入力!$W$6:$AH$15,3,FALSE)*入力!$I$69,0)+ROUNDDOWN(HLOOKUP($A4,入力!$W$6:$AH$15,4,FALSE)*入力!$I$69,0)+ROUNDDOWN(HLOOKUP($A4,入力!$W$6:$AH$15,5,FALSE)*入力!$I$69,0)+ROUNDDOWN(HLOOKUP($A4,入力!$W$6:$AH$15,6,FALSE)*入力!$I$69,0)+ROUNDDOWN(HLOOKUP($A4,入力!$W$6:$AH$15,7,FALSE)*入力!$I$69,0)+ROUNDDOWN(HLOOKUP($A4,入力!$W$6:$AH$15,8,FALSE)*入力!$I$69,0)+ROUNDDOWN(HLOOKUP($A4,入力!$W$6:$AH$15,9,FALSE)*入力!$I$69,0)+ROUNDDOWN(HLOOKUP($A4,入力!$W$6:$AH$15,10,FALSE)*入力!$I$69,0)</f>
        <v>0</v>
      </c>
      <c r="F4" t="e">
        <f>ROUNDDOWN(C4*入力!$I$70,0)</f>
        <v>#N/A</v>
      </c>
      <c r="G4" t="e">
        <f>ROUNDDOWN(D4*入力!$I$71,0)*IF(C4=0,0,1)</f>
        <v>#N/A</v>
      </c>
      <c r="H4" s="99" t="e">
        <f>IF(E4+F4+G4-入力!$B$69&lt;0,0,E4+F4+G4-入力!$B$69)</f>
        <v>#N/A</v>
      </c>
      <c r="I4" s="99" t="e">
        <f t="shared" si="0"/>
        <v>#N/A</v>
      </c>
      <c r="K4">
        <v>6</v>
      </c>
      <c r="L4">
        <f t="shared" si="1"/>
        <v>0</v>
      </c>
      <c r="M4">
        <f t="shared" si="2"/>
        <v>0</v>
      </c>
      <c r="N4">
        <f t="shared" si="3"/>
        <v>1</v>
      </c>
      <c r="O4">
        <f>ROUNDDOWN(HLOOKUP($A4,入力!$W$6:$AH$15,2,FALSE)*入力!$J$69,0)+ROUNDDOWN(HLOOKUP($A4,入力!$W$6:$AH$15,3,FALSE)*入力!$J$69,0)+ROUNDDOWN(HLOOKUP($A4,入力!$W$6:$AH$15,4,FALSE)*入力!$J$69,0)+ROUNDDOWN(HLOOKUP($A4,入力!$W$6:$AH$15,5,FALSE)*入力!$J$69,0)+ROUNDDOWN(HLOOKUP($A4,入力!$W$6:$AH$15,6,FALSE)*入力!$J$69,0)+ROUNDDOWN(HLOOKUP($A4,入力!$W$6:$AH$15,7,FALSE)*入力!$J$69,0)+ROUNDDOWN(HLOOKUP($A4,入力!$W$6:$AH$15,8,FALSE)*入力!$J$69,0)+ROUNDDOWN(HLOOKUP($A4,入力!$W$6:$AH$15,9,FALSE)*入力!$J$69,0)+ROUNDDOWN(HLOOKUP($A4,入力!$W$6:$AH$15,10,FALSE)*入力!$J$69,0)</f>
        <v>0</v>
      </c>
      <c r="P4" t="e">
        <f>ROUNDDOWN(M4*入力!$J$70,0)</f>
        <v>#N/A</v>
      </c>
      <c r="Q4" t="e">
        <f>ROUNDDOWN(N4*入力!$J$71,0)*IF(M4=0,0,1)</f>
        <v>#N/A</v>
      </c>
      <c r="R4" s="99" t="e">
        <f>IF(O4+P4+Q4-入力!$B$70&lt;0,0,O4+P4+Q4-入力!$B$70)</f>
        <v>#N/A</v>
      </c>
      <c r="S4" s="99" t="e">
        <f t="shared" si="4"/>
        <v>#N/A</v>
      </c>
      <c r="U4">
        <v>6</v>
      </c>
      <c r="V4">
        <f>HLOOKUP(U4,入力!$AJ$6:$AU$16,11,FALSE)</f>
        <v>0</v>
      </c>
      <c r="W4">
        <f>HLOOKUP(U4,入力!$E$6:$P$20,12,FALSE)</f>
        <v>0</v>
      </c>
      <c r="X4">
        <v>1</v>
      </c>
      <c r="Y4">
        <f>ROUNDDOWN(HLOOKUP($A4,入力!$AJ$6:$AU$15,2,FALSE)*入力!$K$69,0)+ROUNDDOWN(HLOOKUP($A4,入力!$AJ$6:$AU$15,3,FALSE)*入力!$K$69,0)+ROUNDDOWN(HLOOKUP($A4,入力!$AJ$6:$AU$15,4,FALSE)*入力!$K$69,0)+ROUNDDOWN(HLOOKUP($A4,入力!$AJ$6:$AU$15,5,FALSE)*入力!$K$69,0)+ROUNDDOWN(HLOOKUP($A4,入力!$AJ$6:$AU$15,6,FALSE)*入力!$K$69,0)+ROUNDDOWN(HLOOKUP($A4,入力!$AJ$6:$AU$15,7,FALSE)*入力!$K$69,0)+ROUNDDOWN(HLOOKUP($A4,入力!$AJ$6:$AU$15,8,FALSE)*入力!$K$69,0)+ROUNDDOWN(HLOOKUP($A4,入力!$AJ$6:$AU$15,9,FALSE)*入力!$K$69,0)+ROUNDDOWN(HLOOKUP($A4,入力!$AJ$6:$AU$15,10,FALSE)*入力!$K$69,0)</f>
        <v>0</v>
      </c>
      <c r="Z4" t="e">
        <f>ROUNDDOWN(W4*入力!$K$70,0)</f>
        <v>#N/A</v>
      </c>
      <c r="AA4" t="e">
        <f>ROUNDDOWN(X4*入力!$K$71,0)*IF(W4=0,0,1)</f>
        <v>#N/A</v>
      </c>
      <c r="AB4" s="99" t="e">
        <f>IF(Y4+Z4+AA4-入力!$B$71&lt;0,0,Y4+Z4+AA4-入力!$B$71)</f>
        <v>#N/A</v>
      </c>
      <c r="AC4" s="99" t="e">
        <f t="shared" si="5"/>
        <v>#N/A</v>
      </c>
    </row>
    <row r="5" spans="1:29">
      <c r="A5">
        <v>7</v>
      </c>
      <c r="B5">
        <f>HLOOKUP($A5,入力!$W$6:$AH$16,11,FALSE)</f>
        <v>0</v>
      </c>
      <c r="C5">
        <f>HLOOKUP(A5,入力!$E$6:$P$16,11,FALSE)</f>
        <v>0</v>
      </c>
      <c r="D5">
        <f>HLOOKUP(A5,入力!$W$19:$AH$20,2,FALSE)</f>
        <v>1</v>
      </c>
      <c r="E5">
        <f>ROUNDDOWN(HLOOKUP($A5,入力!$W$6:$AH$15,2,FALSE)*入力!$I$69,0)+ROUNDDOWN(HLOOKUP($A5,入力!$W$6:$AH$15,3,FALSE)*入力!$I$69,0)+ROUNDDOWN(HLOOKUP($A5,入力!$W$6:$AH$15,4,FALSE)*入力!$I$69,0)+ROUNDDOWN(HLOOKUP($A5,入力!$W$6:$AH$15,5,FALSE)*入力!$I$69,0)+ROUNDDOWN(HLOOKUP($A5,入力!$W$6:$AH$15,6,FALSE)*入力!$I$69,0)+ROUNDDOWN(HLOOKUP($A5,入力!$W$6:$AH$15,7,FALSE)*入力!$I$69,0)+ROUNDDOWN(HLOOKUP($A5,入力!$W$6:$AH$15,8,FALSE)*入力!$I$69,0)+ROUNDDOWN(HLOOKUP($A5,入力!$W$6:$AH$15,9,FALSE)*入力!$I$69,0)+ROUNDDOWN(HLOOKUP($A5,入力!$W$6:$AH$15,10,FALSE)*入力!$I$69,0)</f>
        <v>0</v>
      </c>
      <c r="F5" t="e">
        <f>ROUNDDOWN(C5*入力!$I$70,0)</f>
        <v>#N/A</v>
      </c>
      <c r="G5" t="e">
        <f>ROUNDDOWN(D5*入力!$I$71,0)*IF(C5=0,0,1)</f>
        <v>#N/A</v>
      </c>
      <c r="H5" s="99" t="e">
        <f>IF(E5+F5+G5-入力!$B$69&lt;0,0,E5+F5+G5-入力!$B$69)</f>
        <v>#N/A</v>
      </c>
      <c r="I5" s="99" t="e">
        <f t="shared" si="0"/>
        <v>#N/A</v>
      </c>
      <c r="K5">
        <v>7</v>
      </c>
      <c r="L5">
        <f t="shared" si="1"/>
        <v>0</v>
      </c>
      <c r="M5">
        <f t="shared" si="2"/>
        <v>0</v>
      </c>
      <c r="N5">
        <f t="shared" si="3"/>
        <v>1</v>
      </c>
      <c r="O5">
        <f>ROUNDDOWN(HLOOKUP($A5,入力!$W$6:$AH$15,2,FALSE)*入力!$J$69,0)+ROUNDDOWN(HLOOKUP($A5,入力!$W$6:$AH$15,3,FALSE)*入力!$J$69,0)+ROUNDDOWN(HLOOKUP($A5,入力!$W$6:$AH$15,4,FALSE)*入力!$J$69,0)+ROUNDDOWN(HLOOKUP($A5,入力!$W$6:$AH$15,5,FALSE)*入力!$J$69,0)+ROUNDDOWN(HLOOKUP($A5,入力!$W$6:$AH$15,6,FALSE)*入力!$J$69,0)+ROUNDDOWN(HLOOKUP($A5,入力!$W$6:$AH$15,7,FALSE)*入力!$J$69,0)+ROUNDDOWN(HLOOKUP($A5,入力!$W$6:$AH$15,8,FALSE)*入力!$J$69,0)+ROUNDDOWN(HLOOKUP($A5,入力!$W$6:$AH$15,9,FALSE)*入力!$J$69,0)+ROUNDDOWN(HLOOKUP($A5,入力!$W$6:$AH$15,10,FALSE)*入力!$J$69,0)</f>
        <v>0</v>
      </c>
      <c r="P5" t="e">
        <f>ROUNDDOWN(M5*入力!$J$70,0)</f>
        <v>#N/A</v>
      </c>
      <c r="Q5" t="e">
        <f>ROUNDDOWN(N5*入力!$J$71,0)*IF(M5=0,0,1)</f>
        <v>#N/A</v>
      </c>
      <c r="R5" s="99" t="e">
        <f>IF(O5+P5+Q5-入力!$B$70&lt;0,0,O5+P5+Q5-入力!$B$70)</f>
        <v>#N/A</v>
      </c>
      <c r="S5" s="99" t="e">
        <f t="shared" si="4"/>
        <v>#N/A</v>
      </c>
      <c r="U5">
        <v>7</v>
      </c>
      <c r="V5">
        <f>HLOOKUP(U5,入力!$AJ$6:$AU$16,11,FALSE)</f>
        <v>0</v>
      </c>
      <c r="W5">
        <f>HLOOKUP(U5,入力!$E$6:$P$20,12,FALSE)</f>
        <v>0</v>
      </c>
      <c r="X5">
        <v>1</v>
      </c>
      <c r="Y5">
        <f>ROUNDDOWN(HLOOKUP($A5,入力!$AJ$6:$AU$15,2,FALSE)*入力!$K$69,0)+ROUNDDOWN(HLOOKUP($A5,入力!$AJ$6:$AU$15,3,FALSE)*入力!$K$69,0)+ROUNDDOWN(HLOOKUP($A5,入力!$AJ$6:$AU$15,4,FALSE)*入力!$K$69,0)+ROUNDDOWN(HLOOKUP($A5,入力!$AJ$6:$AU$15,5,FALSE)*入力!$K$69,0)+ROUNDDOWN(HLOOKUP($A5,入力!$AJ$6:$AU$15,6,FALSE)*入力!$K$69,0)+ROUNDDOWN(HLOOKUP($A5,入力!$AJ$6:$AU$15,7,FALSE)*入力!$K$69,0)+ROUNDDOWN(HLOOKUP($A5,入力!$AJ$6:$AU$15,8,FALSE)*入力!$K$69,0)+ROUNDDOWN(HLOOKUP($A5,入力!$AJ$6:$AU$15,9,FALSE)*入力!$K$69,0)+ROUNDDOWN(HLOOKUP($A5,入力!$AJ$6:$AU$15,10,FALSE)*入力!$K$69,0)</f>
        <v>0</v>
      </c>
      <c r="Z5" t="e">
        <f>ROUNDDOWN(W5*入力!$K$70,0)</f>
        <v>#N/A</v>
      </c>
      <c r="AA5" t="e">
        <f>ROUNDDOWN(X5*入力!$K$71,0)*IF(W5=0,0,1)</f>
        <v>#N/A</v>
      </c>
      <c r="AB5" s="99" t="e">
        <f>IF(Y5+Z5+AA5-入力!$B$71&lt;0,0,Y5+Z5+AA5-入力!$B$71)</f>
        <v>#N/A</v>
      </c>
      <c r="AC5" s="99" t="e">
        <f t="shared" si="5"/>
        <v>#N/A</v>
      </c>
    </row>
    <row r="6" spans="1:29">
      <c r="A6">
        <v>8</v>
      </c>
      <c r="B6">
        <f>HLOOKUP($A6,入力!$W$6:$AH$16,11,FALSE)</f>
        <v>0</v>
      </c>
      <c r="C6">
        <f>HLOOKUP(A6,入力!$E$6:$P$16,11,FALSE)</f>
        <v>0</v>
      </c>
      <c r="D6">
        <f>HLOOKUP(A6,入力!$W$19:$AH$20,2,FALSE)</f>
        <v>1</v>
      </c>
      <c r="E6">
        <f>ROUNDDOWN(HLOOKUP($A6,入力!$W$6:$AH$15,2,FALSE)*入力!$I$69,0)+ROUNDDOWN(HLOOKUP($A6,入力!$W$6:$AH$15,3,FALSE)*入力!$I$69,0)+ROUNDDOWN(HLOOKUP($A6,入力!$W$6:$AH$15,4,FALSE)*入力!$I$69,0)+ROUNDDOWN(HLOOKUP($A6,入力!$W$6:$AH$15,5,FALSE)*入力!$I$69,0)+ROUNDDOWN(HLOOKUP($A6,入力!$W$6:$AH$15,6,FALSE)*入力!$I$69,0)+ROUNDDOWN(HLOOKUP($A6,入力!$W$6:$AH$15,7,FALSE)*入力!$I$69,0)+ROUNDDOWN(HLOOKUP($A6,入力!$W$6:$AH$15,8,FALSE)*入力!$I$69,0)+ROUNDDOWN(HLOOKUP($A6,入力!$W$6:$AH$15,9,FALSE)*入力!$I$69,0)+ROUNDDOWN(HLOOKUP($A6,入力!$W$6:$AH$15,10,FALSE)*入力!$I$69,0)</f>
        <v>0</v>
      </c>
      <c r="F6" t="e">
        <f>ROUNDDOWN(C6*入力!$I$70,0)</f>
        <v>#N/A</v>
      </c>
      <c r="G6" t="e">
        <f>ROUNDDOWN(D6*入力!$I$71,0)*IF(C6=0,0,1)</f>
        <v>#N/A</v>
      </c>
      <c r="H6" s="99" t="e">
        <f>IF(E6+F6+G6-入力!$B$69&lt;0,0,E6+F6+G6-入力!$B$69)</f>
        <v>#N/A</v>
      </c>
      <c r="I6" s="99" t="e">
        <f t="shared" si="0"/>
        <v>#N/A</v>
      </c>
      <c r="K6">
        <v>8</v>
      </c>
      <c r="L6">
        <f t="shared" si="1"/>
        <v>0</v>
      </c>
      <c r="M6">
        <f t="shared" si="2"/>
        <v>0</v>
      </c>
      <c r="N6">
        <f t="shared" si="3"/>
        <v>1</v>
      </c>
      <c r="O6">
        <f>ROUNDDOWN(HLOOKUP($A6,入力!$W$6:$AH$15,2,FALSE)*入力!$J$69,0)+ROUNDDOWN(HLOOKUP($A6,入力!$W$6:$AH$15,3,FALSE)*入力!$J$69,0)+ROUNDDOWN(HLOOKUP($A6,入力!$W$6:$AH$15,4,FALSE)*入力!$J$69,0)+ROUNDDOWN(HLOOKUP($A6,入力!$W$6:$AH$15,5,FALSE)*入力!$J$69,0)+ROUNDDOWN(HLOOKUP($A6,入力!$W$6:$AH$15,6,FALSE)*入力!$J$69,0)+ROUNDDOWN(HLOOKUP($A6,入力!$W$6:$AH$15,7,FALSE)*入力!$J$69,0)+ROUNDDOWN(HLOOKUP($A6,入力!$W$6:$AH$15,8,FALSE)*入力!$J$69,0)+ROUNDDOWN(HLOOKUP($A6,入力!$W$6:$AH$15,9,FALSE)*入力!$J$69,0)+ROUNDDOWN(HLOOKUP($A6,入力!$W$6:$AH$15,10,FALSE)*入力!$J$69,0)</f>
        <v>0</v>
      </c>
      <c r="P6" t="e">
        <f>ROUNDDOWN(M6*入力!$J$70,0)</f>
        <v>#N/A</v>
      </c>
      <c r="Q6" t="e">
        <f>ROUNDDOWN(N6*入力!$J$71,0)*IF(M6=0,0,1)</f>
        <v>#N/A</v>
      </c>
      <c r="R6" s="99" t="e">
        <f>IF(O6+P6+Q6-入力!$B$70&lt;0,0,O6+P6+Q6-入力!$B$70)</f>
        <v>#N/A</v>
      </c>
      <c r="S6" s="99" t="e">
        <f t="shared" si="4"/>
        <v>#N/A</v>
      </c>
      <c r="U6">
        <v>8</v>
      </c>
      <c r="V6">
        <f>HLOOKUP(U6,入力!$AJ$6:$AU$16,11,FALSE)</f>
        <v>0</v>
      </c>
      <c r="W6">
        <f>HLOOKUP(U6,入力!$E$6:$P$20,12,FALSE)</f>
        <v>0</v>
      </c>
      <c r="X6">
        <v>1</v>
      </c>
      <c r="Y6">
        <f>ROUNDDOWN(HLOOKUP($A6,入力!$AJ$6:$AU$15,2,FALSE)*入力!$K$69,0)+ROUNDDOWN(HLOOKUP($A6,入力!$AJ$6:$AU$15,3,FALSE)*入力!$K$69,0)+ROUNDDOWN(HLOOKUP($A6,入力!$AJ$6:$AU$15,4,FALSE)*入力!$K$69,0)+ROUNDDOWN(HLOOKUP($A6,入力!$AJ$6:$AU$15,5,FALSE)*入力!$K$69,0)+ROUNDDOWN(HLOOKUP($A6,入力!$AJ$6:$AU$15,6,FALSE)*入力!$K$69,0)+ROUNDDOWN(HLOOKUP($A6,入力!$AJ$6:$AU$15,7,FALSE)*入力!$K$69,0)+ROUNDDOWN(HLOOKUP($A6,入力!$AJ$6:$AU$15,8,FALSE)*入力!$K$69,0)+ROUNDDOWN(HLOOKUP($A6,入力!$AJ$6:$AU$15,9,FALSE)*入力!$K$69,0)+ROUNDDOWN(HLOOKUP($A6,入力!$AJ$6:$AU$15,10,FALSE)*入力!$K$69,0)</f>
        <v>0</v>
      </c>
      <c r="Z6" t="e">
        <f>ROUNDDOWN(W6*入力!$K$70,0)</f>
        <v>#N/A</v>
      </c>
      <c r="AA6" t="e">
        <f>ROUNDDOWN(X6*入力!$K$71,0)*IF(W6=0,0,1)</f>
        <v>#N/A</v>
      </c>
      <c r="AB6" s="99" t="e">
        <f>IF(Y6+Z6+AA6-入力!$B$71&lt;0,0,Y6+Z6+AA6-入力!$B$71)</f>
        <v>#N/A</v>
      </c>
      <c r="AC6" s="99" t="e">
        <f t="shared" si="5"/>
        <v>#N/A</v>
      </c>
    </row>
    <row r="7" spans="1:29">
      <c r="A7">
        <v>9</v>
      </c>
      <c r="B7">
        <f>HLOOKUP($A7,入力!$W$6:$AH$16,11,FALSE)</f>
        <v>0</v>
      </c>
      <c r="C7">
        <f>HLOOKUP(A7,入力!$E$6:$P$16,11,FALSE)</f>
        <v>0</v>
      </c>
      <c r="D7">
        <f>HLOOKUP(A7,入力!$W$19:$AH$20,2,FALSE)</f>
        <v>1</v>
      </c>
      <c r="E7">
        <f>ROUNDDOWN(HLOOKUP($A7,入力!$W$6:$AH$15,2,FALSE)*入力!$I$69,0)+ROUNDDOWN(HLOOKUP($A7,入力!$W$6:$AH$15,3,FALSE)*入力!$I$69,0)+ROUNDDOWN(HLOOKUP($A7,入力!$W$6:$AH$15,4,FALSE)*入力!$I$69,0)+ROUNDDOWN(HLOOKUP($A7,入力!$W$6:$AH$15,5,FALSE)*入力!$I$69,0)+ROUNDDOWN(HLOOKUP($A7,入力!$W$6:$AH$15,6,FALSE)*入力!$I$69,0)+ROUNDDOWN(HLOOKUP($A7,入力!$W$6:$AH$15,7,FALSE)*入力!$I$69,0)+ROUNDDOWN(HLOOKUP($A7,入力!$W$6:$AH$15,8,FALSE)*入力!$I$69,0)+ROUNDDOWN(HLOOKUP($A7,入力!$W$6:$AH$15,9,FALSE)*入力!$I$69,0)+ROUNDDOWN(HLOOKUP($A7,入力!$W$6:$AH$15,10,FALSE)*入力!$I$69,0)</f>
        <v>0</v>
      </c>
      <c r="F7" t="e">
        <f>ROUNDDOWN(C7*入力!$I$70,0)</f>
        <v>#N/A</v>
      </c>
      <c r="G7" t="e">
        <f>ROUNDDOWN(D7*入力!$I$71,0)*IF(C7=0,0,1)</f>
        <v>#N/A</v>
      </c>
      <c r="H7" s="99" t="e">
        <f>IF(E7+F7+G7-入力!$B$69&lt;0,0,E7+F7+G7-入力!$B$69)</f>
        <v>#N/A</v>
      </c>
      <c r="I7" s="99" t="e">
        <f t="shared" si="0"/>
        <v>#N/A</v>
      </c>
      <c r="K7">
        <v>9</v>
      </c>
      <c r="L7">
        <f t="shared" si="1"/>
        <v>0</v>
      </c>
      <c r="M7">
        <f t="shared" si="2"/>
        <v>0</v>
      </c>
      <c r="N7">
        <f t="shared" si="3"/>
        <v>1</v>
      </c>
      <c r="O7">
        <f>ROUNDDOWN(HLOOKUP($A7,入力!$W$6:$AH$15,2,FALSE)*入力!$J$69,0)+ROUNDDOWN(HLOOKUP($A7,入力!$W$6:$AH$15,3,FALSE)*入力!$J$69,0)+ROUNDDOWN(HLOOKUP($A7,入力!$W$6:$AH$15,4,FALSE)*入力!$J$69,0)+ROUNDDOWN(HLOOKUP($A7,入力!$W$6:$AH$15,5,FALSE)*入力!$J$69,0)+ROUNDDOWN(HLOOKUP($A7,入力!$W$6:$AH$15,6,FALSE)*入力!$J$69,0)+ROUNDDOWN(HLOOKUP($A7,入力!$W$6:$AH$15,7,FALSE)*入力!$J$69,0)+ROUNDDOWN(HLOOKUP($A7,入力!$W$6:$AH$15,8,FALSE)*入力!$J$69,0)+ROUNDDOWN(HLOOKUP($A7,入力!$W$6:$AH$15,9,FALSE)*入力!$J$69,0)+ROUNDDOWN(HLOOKUP($A7,入力!$W$6:$AH$15,10,FALSE)*入力!$J$69,0)</f>
        <v>0</v>
      </c>
      <c r="P7" t="e">
        <f>ROUNDDOWN(M7*入力!$J$70,0)</f>
        <v>#N/A</v>
      </c>
      <c r="Q7" t="e">
        <f>ROUNDDOWN(N7*入力!$J$71,0)*IF(M7=0,0,1)</f>
        <v>#N/A</v>
      </c>
      <c r="R7" s="99" t="e">
        <f>IF(O7+P7+Q7-入力!$B$70&lt;0,0,O7+P7+Q7-入力!$B$70)</f>
        <v>#N/A</v>
      </c>
      <c r="S7" s="99" t="e">
        <f t="shared" si="4"/>
        <v>#N/A</v>
      </c>
      <c r="U7">
        <v>9</v>
      </c>
      <c r="V7">
        <f>HLOOKUP(U7,入力!$AJ$6:$AU$16,11,FALSE)</f>
        <v>0</v>
      </c>
      <c r="W7">
        <f>HLOOKUP(U7,入力!$E$6:$P$20,12,FALSE)</f>
        <v>0</v>
      </c>
      <c r="X7">
        <v>1</v>
      </c>
      <c r="Y7">
        <f>ROUNDDOWN(HLOOKUP($A7,入力!$AJ$6:$AU$15,2,FALSE)*入力!$K$69,0)+ROUNDDOWN(HLOOKUP($A7,入力!$AJ$6:$AU$15,3,FALSE)*入力!$K$69,0)+ROUNDDOWN(HLOOKUP($A7,入力!$AJ$6:$AU$15,4,FALSE)*入力!$K$69,0)+ROUNDDOWN(HLOOKUP($A7,入力!$AJ$6:$AU$15,5,FALSE)*入力!$K$69,0)+ROUNDDOWN(HLOOKUP($A7,入力!$AJ$6:$AU$15,6,FALSE)*入力!$K$69,0)+ROUNDDOWN(HLOOKUP($A7,入力!$AJ$6:$AU$15,7,FALSE)*入力!$K$69,0)+ROUNDDOWN(HLOOKUP($A7,入力!$AJ$6:$AU$15,8,FALSE)*入力!$K$69,0)+ROUNDDOWN(HLOOKUP($A7,入力!$AJ$6:$AU$15,9,FALSE)*入力!$K$69,0)+ROUNDDOWN(HLOOKUP($A7,入力!$AJ$6:$AU$15,10,FALSE)*入力!$K$69,0)</f>
        <v>0</v>
      </c>
      <c r="Z7" t="e">
        <f>ROUNDDOWN(W7*入力!$K$70,0)</f>
        <v>#N/A</v>
      </c>
      <c r="AA7" t="e">
        <f>ROUNDDOWN(X7*入力!$K$71,0)*IF(W7=0,0,1)</f>
        <v>#N/A</v>
      </c>
      <c r="AB7" s="99" t="e">
        <f>IF(Y7+Z7+AA7-入力!$B$71&lt;0,0,Y7+Z7+AA7-入力!$B$71)</f>
        <v>#N/A</v>
      </c>
      <c r="AC7" s="99" t="e">
        <f t="shared" si="5"/>
        <v>#N/A</v>
      </c>
    </row>
    <row r="8" spans="1:29">
      <c r="A8">
        <v>10</v>
      </c>
      <c r="B8">
        <f>HLOOKUP($A8,入力!$W$6:$AH$16,11,FALSE)</f>
        <v>0</v>
      </c>
      <c r="C8">
        <f>HLOOKUP(A8,入力!$E$6:$P$16,11,FALSE)</f>
        <v>0</v>
      </c>
      <c r="D8">
        <f>HLOOKUP(A8,入力!$W$19:$AH$20,2,FALSE)</f>
        <v>1</v>
      </c>
      <c r="E8">
        <f>ROUNDDOWN(HLOOKUP($A8,入力!$W$6:$AH$15,2,FALSE)*入力!$I$69,0)+ROUNDDOWN(HLOOKUP($A8,入力!$W$6:$AH$15,3,FALSE)*入力!$I$69,0)+ROUNDDOWN(HLOOKUP($A8,入力!$W$6:$AH$15,4,FALSE)*入力!$I$69,0)+ROUNDDOWN(HLOOKUP($A8,入力!$W$6:$AH$15,5,FALSE)*入力!$I$69,0)+ROUNDDOWN(HLOOKUP($A8,入力!$W$6:$AH$15,6,FALSE)*入力!$I$69,0)+ROUNDDOWN(HLOOKUP($A8,入力!$W$6:$AH$15,7,FALSE)*入力!$I$69,0)+ROUNDDOWN(HLOOKUP($A8,入力!$W$6:$AH$15,8,FALSE)*入力!$I$69,0)+ROUNDDOWN(HLOOKUP($A8,入力!$W$6:$AH$15,9,FALSE)*入力!$I$69,0)+ROUNDDOWN(HLOOKUP($A8,入力!$W$6:$AH$15,10,FALSE)*入力!$I$69,0)</f>
        <v>0</v>
      </c>
      <c r="F8" t="e">
        <f>ROUNDDOWN(C8*入力!$I$70,0)</f>
        <v>#N/A</v>
      </c>
      <c r="G8" t="e">
        <f>ROUNDDOWN(D8*入力!$I$71,0)*IF(C8=0,0,1)</f>
        <v>#N/A</v>
      </c>
      <c r="H8" s="99" t="e">
        <f>IF(E8+F8+G8-入力!$B$69&lt;0,0,E8+F8+G8-入力!$B$69)</f>
        <v>#N/A</v>
      </c>
      <c r="I8" s="99" t="e">
        <f t="shared" si="0"/>
        <v>#N/A</v>
      </c>
      <c r="K8">
        <v>10</v>
      </c>
      <c r="L8">
        <f t="shared" si="1"/>
        <v>0</v>
      </c>
      <c r="M8">
        <f t="shared" si="2"/>
        <v>0</v>
      </c>
      <c r="N8">
        <f t="shared" si="3"/>
        <v>1</v>
      </c>
      <c r="O8">
        <f>ROUNDDOWN(HLOOKUP($A8,入力!$W$6:$AH$15,2,FALSE)*入力!$J$69,0)+ROUNDDOWN(HLOOKUP($A8,入力!$W$6:$AH$15,3,FALSE)*入力!$J$69,0)+ROUNDDOWN(HLOOKUP($A8,入力!$W$6:$AH$15,4,FALSE)*入力!$J$69,0)+ROUNDDOWN(HLOOKUP($A8,入力!$W$6:$AH$15,5,FALSE)*入力!$J$69,0)+ROUNDDOWN(HLOOKUP($A8,入力!$W$6:$AH$15,6,FALSE)*入力!$J$69,0)+ROUNDDOWN(HLOOKUP($A8,入力!$W$6:$AH$15,7,FALSE)*入力!$J$69,0)+ROUNDDOWN(HLOOKUP($A8,入力!$W$6:$AH$15,8,FALSE)*入力!$J$69,0)+ROUNDDOWN(HLOOKUP($A8,入力!$W$6:$AH$15,9,FALSE)*入力!$J$69,0)+ROUNDDOWN(HLOOKUP($A8,入力!$W$6:$AH$15,10,FALSE)*入力!$J$69,0)</f>
        <v>0</v>
      </c>
      <c r="P8" t="e">
        <f>ROUNDDOWN(M8*入力!$J$70,0)</f>
        <v>#N/A</v>
      </c>
      <c r="Q8" t="e">
        <f>ROUNDDOWN(N8*入力!$J$71,0)*IF(M8=0,0,1)</f>
        <v>#N/A</v>
      </c>
      <c r="R8" s="99" t="e">
        <f>IF(O8+P8+Q8-入力!$B$70&lt;0,0,O8+P8+Q8-入力!$B$70)</f>
        <v>#N/A</v>
      </c>
      <c r="S8" s="99" t="e">
        <f t="shared" si="4"/>
        <v>#N/A</v>
      </c>
      <c r="U8">
        <v>10</v>
      </c>
      <c r="V8">
        <f>HLOOKUP(U8,入力!$AJ$6:$AU$16,11,FALSE)</f>
        <v>0</v>
      </c>
      <c r="W8">
        <f>HLOOKUP(U8,入力!$E$6:$P$20,12,FALSE)</f>
        <v>0</v>
      </c>
      <c r="X8">
        <v>1</v>
      </c>
      <c r="Y8">
        <f>ROUNDDOWN(HLOOKUP($A8,入力!$AJ$6:$AU$15,2,FALSE)*入力!$K$69,0)+ROUNDDOWN(HLOOKUP($A8,入力!$AJ$6:$AU$15,3,FALSE)*入力!$K$69,0)+ROUNDDOWN(HLOOKUP($A8,入力!$AJ$6:$AU$15,4,FALSE)*入力!$K$69,0)+ROUNDDOWN(HLOOKUP($A8,入力!$AJ$6:$AU$15,5,FALSE)*入力!$K$69,0)+ROUNDDOWN(HLOOKUP($A8,入力!$AJ$6:$AU$15,6,FALSE)*入力!$K$69,0)+ROUNDDOWN(HLOOKUP($A8,入力!$AJ$6:$AU$15,7,FALSE)*入力!$K$69,0)+ROUNDDOWN(HLOOKUP($A8,入力!$AJ$6:$AU$15,8,FALSE)*入力!$K$69,0)+ROUNDDOWN(HLOOKUP($A8,入力!$AJ$6:$AU$15,9,FALSE)*入力!$K$69,0)+ROUNDDOWN(HLOOKUP($A8,入力!$AJ$6:$AU$15,10,FALSE)*入力!$K$69,0)</f>
        <v>0</v>
      </c>
      <c r="Z8" t="e">
        <f>ROUNDDOWN(W8*入力!$K$70,0)</f>
        <v>#N/A</v>
      </c>
      <c r="AA8" t="e">
        <f>ROUNDDOWN(X8*入力!$K$71,0)*IF(W8=0,0,1)</f>
        <v>#N/A</v>
      </c>
      <c r="AB8" s="99" t="e">
        <f>IF(Y8+Z8+AA8-入力!$B$71&lt;0,0,Y8+Z8+AA8-入力!$B$71)</f>
        <v>#N/A</v>
      </c>
      <c r="AC8" s="99" t="e">
        <f t="shared" si="5"/>
        <v>#N/A</v>
      </c>
    </row>
    <row r="9" spans="1:29">
      <c r="A9">
        <v>11</v>
      </c>
      <c r="B9">
        <f>HLOOKUP($A9,入力!$W$6:$AH$16,11,FALSE)</f>
        <v>0</v>
      </c>
      <c r="C9">
        <f>HLOOKUP(A9,入力!$E$6:$P$16,11,FALSE)</f>
        <v>0</v>
      </c>
      <c r="D9">
        <f>HLOOKUP(A9,入力!$W$19:$AH$20,2,FALSE)</f>
        <v>1</v>
      </c>
      <c r="E9">
        <f>ROUNDDOWN(HLOOKUP($A9,入力!$W$6:$AH$15,2,FALSE)*入力!$I$69,0)+ROUNDDOWN(HLOOKUP($A9,入力!$W$6:$AH$15,3,FALSE)*入力!$I$69,0)+ROUNDDOWN(HLOOKUP($A9,入力!$W$6:$AH$15,4,FALSE)*入力!$I$69,0)+ROUNDDOWN(HLOOKUP($A9,入力!$W$6:$AH$15,5,FALSE)*入力!$I$69,0)+ROUNDDOWN(HLOOKUP($A9,入力!$W$6:$AH$15,6,FALSE)*入力!$I$69,0)+ROUNDDOWN(HLOOKUP($A9,入力!$W$6:$AH$15,7,FALSE)*入力!$I$69,0)+ROUNDDOWN(HLOOKUP($A9,入力!$W$6:$AH$15,8,FALSE)*入力!$I$69,0)+ROUNDDOWN(HLOOKUP($A9,入力!$W$6:$AH$15,9,FALSE)*入力!$I$69,0)+ROUNDDOWN(HLOOKUP($A9,入力!$W$6:$AH$15,10,FALSE)*入力!$I$69,0)</f>
        <v>0</v>
      </c>
      <c r="F9" t="e">
        <f>ROUNDDOWN(C9*入力!$I$70,0)</f>
        <v>#N/A</v>
      </c>
      <c r="G9" t="e">
        <f>ROUNDDOWN(D9*入力!$I$71,0)*IF(C9=0,0,1)</f>
        <v>#N/A</v>
      </c>
      <c r="H9" s="99" t="e">
        <f>IF(E9+F9+G9-入力!$B$69&lt;0,0,E9+F9+G9-入力!$B$69)</f>
        <v>#N/A</v>
      </c>
      <c r="I9" s="99" t="e">
        <f t="shared" si="0"/>
        <v>#N/A</v>
      </c>
      <c r="K9">
        <v>11</v>
      </c>
      <c r="L9">
        <f t="shared" si="1"/>
        <v>0</v>
      </c>
      <c r="M9">
        <f t="shared" si="2"/>
        <v>0</v>
      </c>
      <c r="N9">
        <f t="shared" si="3"/>
        <v>1</v>
      </c>
      <c r="O9">
        <f>ROUNDDOWN(HLOOKUP($A9,入力!$W$6:$AH$15,2,FALSE)*入力!$J$69,0)+ROUNDDOWN(HLOOKUP($A9,入力!$W$6:$AH$15,3,FALSE)*入力!$J$69,0)+ROUNDDOWN(HLOOKUP($A9,入力!$W$6:$AH$15,4,FALSE)*入力!$J$69,0)+ROUNDDOWN(HLOOKUP($A9,入力!$W$6:$AH$15,5,FALSE)*入力!$J$69,0)+ROUNDDOWN(HLOOKUP($A9,入力!$W$6:$AH$15,6,FALSE)*入力!$J$69,0)+ROUNDDOWN(HLOOKUP($A9,入力!$W$6:$AH$15,7,FALSE)*入力!$J$69,0)+ROUNDDOWN(HLOOKUP($A9,入力!$W$6:$AH$15,8,FALSE)*入力!$J$69,0)+ROUNDDOWN(HLOOKUP($A9,入力!$W$6:$AH$15,9,FALSE)*入力!$J$69,0)+ROUNDDOWN(HLOOKUP($A9,入力!$W$6:$AH$15,10,FALSE)*入力!$J$69,0)</f>
        <v>0</v>
      </c>
      <c r="P9" t="e">
        <f>ROUNDDOWN(M9*入力!$J$70,0)</f>
        <v>#N/A</v>
      </c>
      <c r="Q9" t="e">
        <f>ROUNDDOWN(N9*入力!$J$71,0)*IF(M9=0,0,1)</f>
        <v>#N/A</v>
      </c>
      <c r="R9" s="99" t="e">
        <f>IF(O9+P9+Q9-入力!$B$70&lt;0,0,O9+P9+Q9-入力!$B$70)</f>
        <v>#N/A</v>
      </c>
      <c r="S9" s="99" t="e">
        <f t="shared" si="4"/>
        <v>#N/A</v>
      </c>
      <c r="U9">
        <v>11</v>
      </c>
      <c r="V9">
        <f>HLOOKUP(U9,入力!$AJ$6:$AU$16,11,FALSE)</f>
        <v>0</v>
      </c>
      <c r="W9">
        <f>HLOOKUP(U9,入力!$E$6:$P$20,12,FALSE)</f>
        <v>0</v>
      </c>
      <c r="X9">
        <v>1</v>
      </c>
      <c r="Y9">
        <f>ROUNDDOWN(HLOOKUP($A9,入力!$AJ$6:$AU$15,2,FALSE)*入力!$K$69,0)+ROUNDDOWN(HLOOKUP($A9,入力!$AJ$6:$AU$15,3,FALSE)*入力!$K$69,0)+ROUNDDOWN(HLOOKUP($A9,入力!$AJ$6:$AU$15,4,FALSE)*入力!$K$69,0)+ROUNDDOWN(HLOOKUP($A9,入力!$AJ$6:$AU$15,5,FALSE)*入力!$K$69,0)+ROUNDDOWN(HLOOKUP($A9,入力!$AJ$6:$AU$15,6,FALSE)*入力!$K$69,0)+ROUNDDOWN(HLOOKUP($A9,入力!$AJ$6:$AU$15,7,FALSE)*入力!$K$69,0)+ROUNDDOWN(HLOOKUP($A9,入力!$AJ$6:$AU$15,8,FALSE)*入力!$K$69,0)+ROUNDDOWN(HLOOKUP($A9,入力!$AJ$6:$AU$15,9,FALSE)*入力!$K$69,0)+ROUNDDOWN(HLOOKUP($A9,入力!$AJ$6:$AU$15,10,FALSE)*入力!$K$69,0)</f>
        <v>0</v>
      </c>
      <c r="Z9" t="e">
        <f>ROUNDDOWN(W9*入力!$K$70,0)</f>
        <v>#N/A</v>
      </c>
      <c r="AA9" t="e">
        <f>ROUNDDOWN(X9*入力!$K$71,0)*IF(W9=0,0,1)</f>
        <v>#N/A</v>
      </c>
      <c r="AB9" s="99" t="e">
        <f>IF(Y9+Z9+AA9-入力!$B$71&lt;0,0,Y9+Z9+AA9-入力!$B$71)</f>
        <v>#N/A</v>
      </c>
      <c r="AC9" s="99" t="e">
        <f t="shared" si="5"/>
        <v>#N/A</v>
      </c>
    </row>
    <row r="10" spans="1:29">
      <c r="A10">
        <v>12</v>
      </c>
      <c r="B10">
        <f>HLOOKUP($A10,入力!$W$6:$AH$16,11,FALSE)</f>
        <v>0</v>
      </c>
      <c r="C10">
        <f>HLOOKUP(A10,入力!$E$6:$P$16,11,FALSE)</f>
        <v>0</v>
      </c>
      <c r="D10">
        <f>HLOOKUP(A10,入力!$W$19:$AH$20,2,FALSE)</f>
        <v>1</v>
      </c>
      <c r="E10">
        <f>ROUNDDOWN(HLOOKUP($A10,入力!$W$6:$AH$15,2,FALSE)*入力!$I$69,0)+ROUNDDOWN(HLOOKUP($A10,入力!$W$6:$AH$15,3,FALSE)*入力!$I$69,0)+ROUNDDOWN(HLOOKUP($A10,入力!$W$6:$AH$15,4,FALSE)*入力!$I$69,0)+ROUNDDOWN(HLOOKUP($A10,入力!$W$6:$AH$15,5,FALSE)*入力!$I$69,0)+ROUNDDOWN(HLOOKUP($A10,入力!$W$6:$AH$15,6,FALSE)*入力!$I$69,0)+ROUNDDOWN(HLOOKUP($A10,入力!$W$6:$AH$15,7,FALSE)*入力!$I$69,0)+ROUNDDOWN(HLOOKUP($A10,入力!$W$6:$AH$15,8,FALSE)*入力!$I$69,0)+ROUNDDOWN(HLOOKUP($A10,入力!$W$6:$AH$15,9,FALSE)*入力!$I$69,0)+ROUNDDOWN(HLOOKUP($A10,入力!$W$6:$AH$15,10,FALSE)*入力!$I$69,0)</f>
        <v>0</v>
      </c>
      <c r="F10" t="e">
        <f>ROUNDDOWN(C10*入力!$I$70,0)</f>
        <v>#N/A</v>
      </c>
      <c r="G10" t="e">
        <f>ROUNDDOWN(D10*入力!$I$71,0)*IF(C10=0,0,1)</f>
        <v>#N/A</v>
      </c>
      <c r="H10" s="99" t="e">
        <f>IF(E10+F10+G10-入力!$B$69&lt;0,0,E10+F10+G10-入力!$B$69)</f>
        <v>#N/A</v>
      </c>
      <c r="I10" s="99" t="e">
        <f t="shared" si="0"/>
        <v>#N/A</v>
      </c>
      <c r="K10">
        <v>12</v>
      </c>
      <c r="L10">
        <f t="shared" si="1"/>
        <v>0</v>
      </c>
      <c r="M10">
        <f t="shared" si="2"/>
        <v>0</v>
      </c>
      <c r="N10">
        <f t="shared" si="3"/>
        <v>1</v>
      </c>
      <c r="O10">
        <f>ROUNDDOWN(HLOOKUP($A10,入力!$W$6:$AH$15,2,FALSE)*入力!$J$69,0)+ROUNDDOWN(HLOOKUP($A10,入力!$W$6:$AH$15,3,FALSE)*入力!$J$69,0)+ROUNDDOWN(HLOOKUP($A10,入力!$W$6:$AH$15,4,FALSE)*入力!$J$69,0)+ROUNDDOWN(HLOOKUP($A10,入力!$W$6:$AH$15,5,FALSE)*入力!$J$69,0)+ROUNDDOWN(HLOOKUP($A10,入力!$W$6:$AH$15,6,FALSE)*入力!$J$69,0)+ROUNDDOWN(HLOOKUP($A10,入力!$W$6:$AH$15,7,FALSE)*入力!$J$69,0)+ROUNDDOWN(HLOOKUP($A10,入力!$W$6:$AH$15,8,FALSE)*入力!$J$69,0)+ROUNDDOWN(HLOOKUP($A10,入力!$W$6:$AH$15,9,FALSE)*入力!$J$69,0)+ROUNDDOWN(HLOOKUP($A10,入力!$W$6:$AH$15,10,FALSE)*入力!$J$69,0)</f>
        <v>0</v>
      </c>
      <c r="P10" t="e">
        <f>ROUNDDOWN(M10*入力!$J$70,0)</f>
        <v>#N/A</v>
      </c>
      <c r="Q10" t="e">
        <f>ROUNDDOWN(N10*入力!$J$71,0)*IF(M10=0,0,1)</f>
        <v>#N/A</v>
      </c>
      <c r="R10" s="99" t="e">
        <f>IF(O10+P10+Q10-入力!$B$70&lt;0,0,O10+P10+Q10-入力!$B$70)</f>
        <v>#N/A</v>
      </c>
      <c r="S10" s="99" t="e">
        <f t="shared" si="4"/>
        <v>#N/A</v>
      </c>
      <c r="U10">
        <v>12</v>
      </c>
      <c r="V10">
        <f>HLOOKUP(U10,入力!$AJ$6:$AU$16,11,FALSE)</f>
        <v>0</v>
      </c>
      <c r="W10">
        <f>HLOOKUP(U10,入力!$E$6:$P$20,12,FALSE)</f>
        <v>0</v>
      </c>
      <c r="X10">
        <v>1</v>
      </c>
      <c r="Y10">
        <f>ROUNDDOWN(HLOOKUP($A10,入力!$AJ$6:$AU$15,2,FALSE)*入力!$K$69,0)+ROUNDDOWN(HLOOKUP($A10,入力!$AJ$6:$AU$15,3,FALSE)*入力!$K$69,0)+ROUNDDOWN(HLOOKUP($A10,入力!$AJ$6:$AU$15,4,FALSE)*入力!$K$69,0)+ROUNDDOWN(HLOOKUP($A10,入力!$AJ$6:$AU$15,5,FALSE)*入力!$K$69,0)+ROUNDDOWN(HLOOKUP($A10,入力!$AJ$6:$AU$15,6,FALSE)*入力!$K$69,0)+ROUNDDOWN(HLOOKUP($A10,入力!$AJ$6:$AU$15,7,FALSE)*入力!$K$69,0)+ROUNDDOWN(HLOOKUP($A10,入力!$AJ$6:$AU$15,8,FALSE)*入力!$K$69,0)+ROUNDDOWN(HLOOKUP($A10,入力!$AJ$6:$AU$15,9,FALSE)*入力!$K$69,0)+ROUNDDOWN(HLOOKUP($A10,入力!$AJ$6:$AU$15,10,FALSE)*入力!$K$69,0)</f>
        <v>0</v>
      </c>
      <c r="Z10" t="e">
        <f>ROUNDDOWN(W10*入力!$K$70,0)</f>
        <v>#N/A</v>
      </c>
      <c r="AA10" t="e">
        <f>ROUNDDOWN(X10*入力!$K$71,0)*IF(W10=0,0,1)</f>
        <v>#N/A</v>
      </c>
      <c r="AB10" s="99" t="e">
        <f>IF(Y10+Z10+AA10-入力!$B$71&lt;0,0,Y10+Z10+AA10-入力!$B$71)</f>
        <v>#N/A</v>
      </c>
      <c r="AC10" s="99" t="e">
        <f t="shared" si="5"/>
        <v>#N/A</v>
      </c>
    </row>
    <row r="11" spans="1:29">
      <c r="A11">
        <v>1</v>
      </c>
      <c r="B11">
        <f>HLOOKUP($A11,入力!$W$6:$AH$16,11,FALSE)</f>
        <v>0</v>
      </c>
      <c r="C11">
        <f>HLOOKUP(A11,入力!$E$6:$P$16,11,FALSE)</f>
        <v>0</v>
      </c>
      <c r="D11">
        <f>HLOOKUP(A11,入力!$W$19:$AH$20,2,FALSE)</f>
        <v>1</v>
      </c>
      <c r="E11">
        <f>ROUNDDOWN(HLOOKUP($A11,入力!$W$6:$AH$15,2,FALSE)*入力!$I$69,0)+ROUNDDOWN(HLOOKUP($A11,入力!$W$6:$AH$15,3,FALSE)*入力!$I$69,0)+ROUNDDOWN(HLOOKUP($A11,入力!$W$6:$AH$15,4,FALSE)*入力!$I$69,0)+ROUNDDOWN(HLOOKUP($A11,入力!$W$6:$AH$15,5,FALSE)*入力!$I$69,0)+ROUNDDOWN(HLOOKUP($A11,入力!$W$6:$AH$15,6,FALSE)*入力!$I$69,0)+ROUNDDOWN(HLOOKUP($A11,入力!$W$6:$AH$15,7,FALSE)*入力!$I$69,0)+ROUNDDOWN(HLOOKUP($A11,入力!$W$6:$AH$15,8,FALSE)*入力!$I$69,0)+ROUNDDOWN(HLOOKUP($A11,入力!$W$6:$AH$15,9,FALSE)*入力!$I$69,0)+ROUNDDOWN(HLOOKUP($A11,入力!$W$6:$AH$15,10,FALSE)*入力!$I$69,0)</f>
        <v>0</v>
      </c>
      <c r="F11" t="e">
        <f>ROUNDDOWN(C11*入力!$I$70,0)</f>
        <v>#N/A</v>
      </c>
      <c r="G11" t="e">
        <f>ROUNDDOWN(D11*入力!$I$71,0)*IF(C11=0,0,1)</f>
        <v>#N/A</v>
      </c>
      <c r="H11" s="99" t="e">
        <f>IF(E11+F11+G11-入力!$B$69&lt;0,0,E11+F11+G11-入力!$B$69)</f>
        <v>#N/A</v>
      </c>
      <c r="I11" s="99" t="e">
        <f t="shared" si="0"/>
        <v>#N/A</v>
      </c>
      <c r="K11">
        <v>1</v>
      </c>
      <c r="L11">
        <f t="shared" si="1"/>
        <v>0</v>
      </c>
      <c r="M11">
        <f t="shared" si="2"/>
        <v>0</v>
      </c>
      <c r="N11">
        <f t="shared" si="3"/>
        <v>1</v>
      </c>
      <c r="O11">
        <f>ROUNDDOWN(HLOOKUP($A11,入力!$W$6:$AH$15,2,FALSE)*入力!$J$69,0)+ROUNDDOWN(HLOOKUP($A11,入力!$W$6:$AH$15,3,FALSE)*入力!$J$69,0)+ROUNDDOWN(HLOOKUP($A11,入力!$W$6:$AH$15,4,FALSE)*入力!$J$69,0)+ROUNDDOWN(HLOOKUP($A11,入力!$W$6:$AH$15,5,FALSE)*入力!$J$69,0)+ROUNDDOWN(HLOOKUP($A11,入力!$W$6:$AH$15,6,FALSE)*入力!$J$69,0)+ROUNDDOWN(HLOOKUP($A11,入力!$W$6:$AH$15,7,FALSE)*入力!$J$69,0)+ROUNDDOWN(HLOOKUP($A11,入力!$W$6:$AH$15,8,FALSE)*入力!$J$69,0)+ROUNDDOWN(HLOOKUP($A11,入力!$W$6:$AH$15,9,FALSE)*入力!$J$69,0)+ROUNDDOWN(HLOOKUP($A11,入力!$W$6:$AH$15,10,FALSE)*入力!$J$69,0)</f>
        <v>0</v>
      </c>
      <c r="P11" t="e">
        <f>ROUNDDOWN(M11*入力!$J$70,0)</f>
        <v>#N/A</v>
      </c>
      <c r="Q11" t="e">
        <f>ROUNDDOWN(N11*入力!$J$71,0)*IF(M11=0,0,1)</f>
        <v>#N/A</v>
      </c>
      <c r="R11" s="99" t="e">
        <f>IF(O11+P11+Q11-入力!$B$70&lt;0,0,O11+P11+Q11-入力!$B$70)</f>
        <v>#N/A</v>
      </c>
      <c r="S11" s="99" t="e">
        <f t="shared" si="4"/>
        <v>#N/A</v>
      </c>
      <c r="U11">
        <v>1</v>
      </c>
      <c r="V11">
        <f>HLOOKUP(U11,入力!$AJ$6:$AU$16,11,FALSE)</f>
        <v>0</v>
      </c>
      <c r="W11">
        <f>HLOOKUP(U11,入力!$E$6:$P$20,12,FALSE)</f>
        <v>0</v>
      </c>
      <c r="X11">
        <v>1</v>
      </c>
      <c r="Y11">
        <f>ROUNDDOWN(HLOOKUP($A11,入力!$AJ$6:$AU$15,2,FALSE)*入力!$K$69,0)+ROUNDDOWN(HLOOKUP($A11,入力!$AJ$6:$AU$15,3,FALSE)*入力!$K$69,0)+ROUNDDOWN(HLOOKUP($A11,入力!$AJ$6:$AU$15,4,FALSE)*入力!$K$69,0)+ROUNDDOWN(HLOOKUP($A11,入力!$AJ$6:$AU$15,5,FALSE)*入力!$K$69,0)+ROUNDDOWN(HLOOKUP($A11,入力!$AJ$6:$AU$15,6,FALSE)*入力!$K$69,0)+ROUNDDOWN(HLOOKUP($A11,入力!$AJ$6:$AU$15,7,FALSE)*入力!$K$69,0)+ROUNDDOWN(HLOOKUP($A11,入力!$AJ$6:$AU$15,8,FALSE)*入力!$K$69,0)+ROUNDDOWN(HLOOKUP($A11,入力!$AJ$6:$AU$15,9,FALSE)*入力!$K$69,0)+ROUNDDOWN(HLOOKUP($A11,入力!$AJ$6:$AU$15,10,FALSE)*入力!$K$69,0)</f>
        <v>0</v>
      </c>
      <c r="Z11" t="e">
        <f>ROUNDDOWN(W11*入力!$K$70,0)</f>
        <v>#N/A</v>
      </c>
      <c r="AA11" t="e">
        <f>ROUNDDOWN(X11*入力!$K$71,0)*IF(W11=0,0,1)</f>
        <v>#N/A</v>
      </c>
      <c r="AB11" s="99" t="e">
        <f>IF(Y11+Z11+AA11-入力!$B$71&lt;0,0,Y11+Z11+AA11-入力!$B$71)</f>
        <v>#N/A</v>
      </c>
      <c r="AC11" s="99" t="e">
        <f t="shared" si="5"/>
        <v>#N/A</v>
      </c>
    </row>
    <row r="12" spans="1:29">
      <c r="A12">
        <v>2</v>
      </c>
      <c r="B12">
        <f>HLOOKUP($A12,入力!$W$6:$AH$16,11,FALSE)</f>
        <v>0</v>
      </c>
      <c r="C12">
        <f>HLOOKUP(A12,入力!$E$6:$P$16,11,FALSE)</f>
        <v>0</v>
      </c>
      <c r="D12">
        <f>HLOOKUP(A12,入力!$W$19:$AH$20,2,FALSE)</f>
        <v>1</v>
      </c>
      <c r="E12">
        <f>ROUNDDOWN(HLOOKUP($A12,入力!$W$6:$AH$15,2,FALSE)*入力!$I$69,0)+ROUNDDOWN(HLOOKUP($A12,入力!$W$6:$AH$15,3,FALSE)*入力!$I$69,0)+ROUNDDOWN(HLOOKUP($A12,入力!$W$6:$AH$15,4,FALSE)*入力!$I$69,0)+ROUNDDOWN(HLOOKUP($A12,入力!$W$6:$AH$15,5,FALSE)*入力!$I$69,0)+ROUNDDOWN(HLOOKUP($A12,入力!$W$6:$AH$15,6,FALSE)*入力!$I$69,0)+ROUNDDOWN(HLOOKUP($A12,入力!$W$6:$AH$15,7,FALSE)*入力!$I$69,0)+ROUNDDOWN(HLOOKUP($A12,入力!$W$6:$AH$15,8,FALSE)*入力!$I$69,0)+ROUNDDOWN(HLOOKUP($A12,入力!$W$6:$AH$15,9,FALSE)*入力!$I$69,0)+ROUNDDOWN(HLOOKUP($A12,入力!$W$6:$AH$15,10,FALSE)*入力!$I$69,0)</f>
        <v>0</v>
      </c>
      <c r="F12" t="e">
        <f>ROUNDDOWN(C12*入力!$I$70,0)</f>
        <v>#N/A</v>
      </c>
      <c r="G12" t="e">
        <f>ROUNDDOWN(D12*入力!$I$71,0)*IF(C12=0,0,1)</f>
        <v>#N/A</v>
      </c>
      <c r="H12" s="99" t="e">
        <f>IF(E12+F12+G12-入力!$B$69&lt;0,0,E12+F12+G12-入力!$B$69)</f>
        <v>#N/A</v>
      </c>
      <c r="I12" s="99" t="e">
        <f t="shared" si="0"/>
        <v>#N/A</v>
      </c>
      <c r="K12">
        <v>2</v>
      </c>
      <c r="L12">
        <f t="shared" si="1"/>
        <v>0</v>
      </c>
      <c r="M12">
        <f t="shared" si="2"/>
        <v>0</v>
      </c>
      <c r="N12">
        <f t="shared" si="3"/>
        <v>1</v>
      </c>
      <c r="O12">
        <f>ROUNDDOWN(HLOOKUP($A12,入力!$W$6:$AH$15,2,FALSE)*入力!$J$69,0)+ROUNDDOWN(HLOOKUP($A12,入力!$W$6:$AH$15,3,FALSE)*入力!$J$69,0)+ROUNDDOWN(HLOOKUP($A12,入力!$W$6:$AH$15,4,FALSE)*入力!$J$69,0)+ROUNDDOWN(HLOOKUP($A12,入力!$W$6:$AH$15,5,FALSE)*入力!$J$69,0)+ROUNDDOWN(HLOOKUP($A12,入力!$W$6:$AH$15,6,FALSE)*入力!$J$69,0)+ROUNDDOWN(HLOOKUP($A12,入力!$W$6:$AH$15,7,FALSE)*入力!$J$69,0)+ROUNDDOWN(HLOOKUP($A12,入力!$W$6:$AH$15,8,FALSE)*入力!$J$69,0)+ROUNDDOWN(HLOOKUP($A12,入力!$W$6:$AH$15,9,FALSE)*入力!$J$69,0)+ROUNDDOWN(HLOOKUP($A12,入力!$W$6:$AH$15,10,FALSE)*入力!$J$69,0)</f>
        <v>0</v>
      </c>
      <c r="P12" t="e">
        <f>ROUNDDOWN(M12*入力!$J$70,0)</f>
        <v>#N/A</v>
      </c>
      <c r="Q12" t="e">
        <f>ROUNDDOWN(N12*入力!$J$71,0)*IF(M12=0,0,1)</f>
        <v>#N/A</v>
      </c>
      <c r="R12" s="99" t="e">
        <f>IF(O12+P12+Q12-入力!$B$70&lt;0,0,O12+P12+Q12-入力!$B$70)</f>
        <v>#N/A</v>
      </c>
      <c r="S12" s="99" t="e">
        <f t="shared" si="4"/>
        <v>#N/A</v>
      </c>
      <c r="U12">
        <v>2</v>
      </c>
      <c r="V12">
        <f>HLOOKUP(U12,入力!$AJ$6:$AU$16,11,FALSE)</f>
        <v>0</v>
      </c>
      <c r="W12">
        <f>HLOOKUP(U12,入力!$E$6:$P$20,12,FALSE)</f>
        <v>0</v>
      </c>
      <c r="X12">
        <v>1</v>
      </c>
      <c r="Y12">
        <f>ROUNDDOWN(HLOOKUP($A12,入力!$AJ$6:$AU$15,2,FALSE)*入力!$K$69,0)+ROUNDDOWN(HLOOKUP($A12,入力!$AJ$6:$AU$15,3,FALSE)*入力!$K$69,0)+ROUNDDOWN(HLOOKUP($A12,入力!$AJ$6:$AU$15,4,FALSE)*入力!$K$69,0)+ROUNDDOWN(HLOOKUP($A12,入力!$AJ$6:$AU$15,5,FALSE)*入力!$K$69,0)+ROUNDDOWN(HLOOKUP($A12,入力!$AJ$6:$AU$15,6,FALSE)*入力!$K$69,0)+ROUNDDOWN(HLOOKUP($A12,入力!$AJ$6:$AU$15,7,FALSE)*入力!$K$69,0)+ROUNDDOWN(HLOOKUP($A12,入力!$AJ$6:$AU$15,8,FALSE)*入力!$K$69,0)+ROUNDDOWN(HLOOKUP($A12,入力!$AJ$6:$AU$15,9,FALSE)*入力!$K$69,0)+ROUNDDOWN(HLOOKUP($A12,入力!$AJ$6:$AU$15,10,FALSE)*入力!$K$69,0)</f>
        <v>0</v>
      </c>
      <c r="Z12" t="e">
        <f>ROUNDDOWN(W12*入力!$K$70,0)</f>
        <v>#N/A</v>
      </c>
      <c r="AA12" t="e">
        <f>ROUNDDOWN(X12*入力!$K$71,0)*IF(W12=0,0,1)</f>
        <v>#N/A</v>
      </c>
      <c r="AB12" s="99" t="e">
        <f>IF(Y12+Z12+AA12-入力!$B$71&lt;0,0,Y12+Z12+AA12-入力!$B$71)</f>
        <v>#N/A</v>
      </c>
      <c r="AC12" s="99" t="e">
        <f t="shared" si="5"/>
        <v>#N/A</v>
      </c>
    </row>
    <row r="13" spans="1:29">
      <c r="A13">
        <v>3</v>
      </c>
      <c r="B13">
        <f>HLOOKUP($A13,入力!$W$6:$AH$16,11,FALSE)</f>
        <v>0</v>
      </c>
      <c r="C13">
        <f>HLOOKUP(A13,入力!$E$6:$P$16,11,FALSE)</f>
        <v>0</v>
      </c>
      <c r="D13">
        <f>HLOOKUP(A13,入力!$W$19:$AH$20,2,FALSE)</f>
        <v>1</v>
      </c>
      <c r="E13">
        <f>ROUNDDOWN(HLOOKUP($A13,入力!$W$6:$AH$15,2,FALSE)*入力!$I$69,0)+ROUNDDOWN(HLOOKUP($A13,入力!$W$6:$AH$15,3,FALSE)*入力!$I$69,0)+ROUNDDOWN(HLOOKUP($A13,入力!$W$6:$AH$15,4,FALSE)*入力!$I$69,0)+ROUNDDOWN(HLOOKUP($A13,入力!$W$6:$AH$15,5,FALSE)*入力!$I$69,0)+ROUNDDOWN(HLOOKUP($A13,入力!$W$6:$AH$15,6,FALSE)*入力!$I$69,0)+ROUNDDOWN(HLOOKUP($A13,入力!$W$6:$AH$15,7,FALSE)*入力!$I$69,0)+ROUNDDOWN(HLOOKUP($A13,入力!$W$6:$AH$15,8,FALSE)*入力!$I$69,0)+ROUNDDOWN(HLOOKUP($A13,入力!$W$6:$AH$15,9,FALSE)*入力!$I$69,0)+ROUNDDOWN(HLOOKUP($A13,入力!$W$6:$AH$15,10,FALSE)*入力!$I$69,0)</f>
        <v>0</v>
      </c>
      <c r="F13" t="e">
        <f>ROUNDDOWN(C13*入力!$I$70,0)</f>
        <v>#N/A</v>
      </c>
      <c r="G13" t="e">
        <f>ROUNDDOWN(D13*入力!$I$71,0)*IF(C13=0,0,1)</f>
        <v>#N/A</v>
      </c>
      <c r="H13" s="99" t="e">
        <f>IF(E13+F13+G13-入力!$B$69&lt;0,0,E13+F13+G13-入力!$B$69)</f>
        <v>#N/A</v>
      </c>
      <c r="I13" s="99" t="e">
        <f t="shared" si="0"/>
        <v>#N/A</v>
      </c>
      <c r="K13">
        <v>3</v>
      </c>
      <c r="L13">
        <f t="shared" si="1"/>
        <v>0</v>
      </c>
      <c r="M13">
        <f t="shared" si="2"/>
        <v>0</v>
      </c>
      <c r="N13">
        <f t="shared" si="3"/>
        <v>1</v>
      </c>
      <c r="O13">
        <f>ROUNDDOWN(HLOOKUP($A13,入力!$W$6:$AH$15,2,FALSE)*入力!$J$69,0)+ROUNDDOWN(HLOOKUP($A13,入力!$W$6:$AH$15,3,FALSE)*入力!$J$69,0)+ROUNDDOWN(HLOOKUP($A13,入力!$W$6:$AH$15,4,FALSE)*入力!$J$69,0)+ROUNDDOWN(HLOOKUP($A13,入力!$W$6:$AH$15,5,FALSE)*入力!$J$69,0)+ROUNDDOWN(HLOOKUP($A13,入力!$W$6:$AH$15,6,FALSE)*入力!$J$69,0)+ROUNDDOWN(HLOOKUP($A13,入力!$W$6:$AH$15,7,FALSE)*入力!$J$69,0)+ROUNDDOWN(HLOOKUP($A13,入力!$W$6:$AH$15,8,FALSE)*入力!$J$69,0)+ROUNDDOWN(HLOOKUP($A13,入力!$W$6:$AH$15,9,FALSE)*入力!$J$69,0)+ROUNDDOWN(HLOOKUP($A13,入力!$W$6:$AH$15,10,FALSE)*入力!$J$69,0)</f>
        <v>0</v>
      </c>
      <c r="P13" t="e">
        <f>ROUNDDOWN(M13*入力!$J$70,0)</f>
        <v>#N/A</v>
      </c>
      <c r="Q13" t="e">
        <f>ROUNDDOWN(N13*入力!$J$71,0)*IF(M13=0,0,1)</f>
        <v>#N/A</v>
      </c>
      <c r="R13" s="99" t="e">
        <f>IF(O13+P13+Q13-入力!$B$70&lt;0,0,O13+P13+Q13-入力!$B$70)</f>
        <v>#N/A</v>
      </c>
      <c r="S13" s="99" t="e">
        <f t="shared" si="4"/>
        <v>#N/A</v>
      </c>
      <c r="U13">
        <v>3</v>
      </c>
      <c r="V13">
        <f>HLOOKUP(U13,入力!$AJ$6:$AU$16,11,FALSE)</f>
        <v>0</v>
      </c>
      <c r="W13">
        <f>HLOOKUP(U13,入力!$E$6:$P$20,12,FALSE)</f>
        <v>0</v>
      </c>
      <c r="X13">
        <v>1</v>
      </c>
      <c r="Y13">
        <f>ROUNDDOWN(HLOOKUP($A13,入力!$AJ$6:$AU$15,2,FALSE)*入力!$K$69,0)+ROUNDDOWN(HLOOKUP($A13,入力!$AJ$6:$AU$15,3,FALSE)*入力!$K$69,0)+ROUNDDOWN(HLOOKUP($A13,入力!$AJ$6:$AU$15,4,FALSE)*入力!$K$69,0)+ROUNDDOWN(HLOOKUP($A13,入力!$AJ$6:$AU$15,5,FALSE)*入力!$K$69,0)+ROUNDDOWN(HLOOKUP($A13,入力!$AJ$6:$AU$15,6,FALSE)*入力!$K$69,0)+ROUNDDOWN(HLOOKUP($A13,入力!$AJ$6:$AU$15,7,FALSE)*入力!$K$69,0)+ROUNDDOWN(HLOOKUP($A13,入力!$AJ$6:$AU$15,8,FALSE)*入力!$K$69,0)+ROUNDDOWN(HLOOKUP($A13,入力!$AJ$6:$AU$15,9,FALSE)*入力!$K$69,0)+ROUNDDOWN(HLOOKUP($A13,入力!$AJ$6:$AU$15,10,FALSE)*入力!$K$69,0)</f>
        <v>0</v>
      </c>
      <c r="Z13" t="e">
        <f>ROUNDDOWN(W13*入力!$K$70,0)</f>
        <v>#N/A</v>
      </c>
      <c r="AA13" t="e">
        <f>ROUNDDOWN(X13*入力!$K$71,0)*IF(W13=0,0,1)</f>
        <v>#N/A</v>
      </c>
      <c r="AB13" s="99" t="e">
        <f>IF(Y13+Z13+AA13-入力!$B$71&lt;0,0,Y13+Z13+AA13-入力!$B$71)</f>
        <v>#N/A</v>
      </c>
      <c r="AC13" s="99" t="e">
        <f t="shared" si="5"/>
        <v>#N/A</v>
      </c>
    </row>
    <row r="14" spans="1:29">
      <c r="I14" s="99" t="e">
        <f>ROUNDDOWN(SUM(I2:I13)/12,0)</f>
        <v>#N/A</v>
      </c>
      <c r="S14" s="99" t="e">
        <f>ROUNDDOWN(SUM(S2:S13)/12,0)</f>
        <v>#N/A</v>
      </c>
      <c r="AC14" s="99" t="e">
        <f>ROUNDDOWN(SUM(AC2:AC13)/12,0)</f>
        <v>#N/A</v>
      </c>
    </row>
    <row r="15" spans="1:29">
      <c r="E15" t="s">
        <v>53</v>
      </c>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9">
    <pageSetUpPr fitToPage="1"/>
  </sheetPr>
  <dimension ref="A1:T89"/>
  <sheetViews>
    <sheetView zoomScaleNormal="100" workbookViewId="0">
      <selection activeCell="E82" sqref="E82"/>
    </sheetView>
  </sheetViews>
  <sheetFormatPr defaultRowHeight="13.5"/>
  <cols>
    <col min="2" max="2" width="4" customWidth="1"/>
    <col min="4" max="4" width="4" bestFit="1" customWidth="1"/>
    <col min="5" max="5" width="15.875" customWidth="1"/>
    <col min="6" max="6" width="4" bestFit="1" customWidth="1"/>
    <col min="7" max="7" width="15.375" customWidth="1"/>
    <col min="8" max="8" width="4" bestFit="1" customWidth="1"/>
    <col min="9" max="9" width="12" style="93" bestFit="1" customWidth="1"/>
    <col min="10" max="10" width="4" bestFit="1" customWidth="1"/>
    <col min="11" max="11" width="10.5" bestFit="1" customWidth="1"/>
    <col min="12" max="12" width="4" bestFit="1" customWidth="1"/>
    <col min="14" max="14" width="4" bestFit="1" customWidth="1"/>
    <col min="15" max="15" width="9" style="94"/>
    <col min="17" max="20" width="9" hidden="1" customWidth="1"/>
  </cols>
  <sheetData>
    <row r="1" spans="1:20" ht="15.75" thickBot="1">
      <c r="A1" s="32" t="s">
        <v>31</v>
      </c>
      <c r="B1" s="1"/>
      <c r="C1" s="1"/>
      <c r="D1" s="1"/>
      <c r="E1" s="1"/>
      <c r="F1" s="1"/>
      <c r="G1" s="1"/>
      <c r="H1" s="1"/>
      <c r="I1" s="91"/>
      <c r="J1" s="1"/>
      <c r="K1" s="1"/>
      <c r="L1" s="1"/>
      <c r="M1" s="1"/>
      <c r="N1" s="1"/>
    </row>
    <row r="2" spans="1:20" ht="15.75" thickBot="1">
      <c r="A2" s="3" t="s">
        <v>1</v>
      </c>
      <c r="B2" s="4"/>
      <c r="C2" s="5"/>
      <c r="D2" s="6"/>
      <c r="E2" s="1"/>
      <c r="F2" s="1"/>
      <c r="G2" s="1"/>
      <c r="H2" s="1"/>
      <c r="I2" s="91"/>
      <c r="J2" s="1"/>
      <c r="K2" s="55"/>
      <c r="L2" s="1"/>
      <c r="M2" s="1"/>
      <c r="N2" s="1"/>
    </row>
    <row r="3" spans="1:20" ht="16.5" thickTop="1" thickBot="1">
      <c r="A3" s="7" t="s">
        <v>2</v>
      </c>
      <c r="B3" s="8"/>
      <c r="C3" s="9">
        <v>9.09</v>
      </c>
      <c r="D3" s="10" t="s">
        <v>3</v>
      </c>
      <c r="E3" s="66"/>
      <c r="F3" s="69" t="s">
        <v>4</v>
      </c>
      <c r="G3" s="60">
        <f>ROUNDDOWN((C3*E3)/100,0)</f>
        <v>0</v>
      </c>
      <c r="H3" s="59" t="s">
        <v>4</v>
      </c>
      <c r="I3" s="239">
        <f>G3+G4+G5</f>
        <v>22080</v>
      </c>
      <c r="J3" s="231" t="s">
        <v>4</v>
      </c>
      <c r="K3" s="229" t="s">
        <v>5</v>
      </c>
      <c r="L3" s="230"/>
      <c r="M3" s="230"/>
      <c r="N3" s="231"/>
      <c r="Q3">
        <v>540000</v>
      </c>
    </row>
    <row r="4" spans="1:20" ht="15.75" thickTop="1">
      <c r="A4" s="11" t="s">
        <v>6</v>
      </c>
      <c r="B4" s="12"/>
      <c r="C4" s="13">
        <v>26640</v>
      </c>
      <c r="D4" s="14" t="s">
        <v>4</v>
      </c>
      <c r="E4" s="67"/>
      <c r="F4" s="70" t="s">
        <v>7</v>
      </c>
      <c r="G4" s="13">
        <f>ROUNDDOWN(C4*E4,0)</f>
        <v>0</v>
      </c>
      <c r="H4" s="12" t="s">
        <v>4</v>
      </c>
      <c r="I4" s="233"/>
      <c r="J4" s="228"/>
      <c r="K4" s="39" t="s">
        <v>8</v>
      </c>
      <c r="L4" s="40"/>
      <c r="M4" s="38" t="s">
        <v>9</v>
      </c>
      <c r="N4" s="41"/>
      <c r="Q4">
        <v>190000</v>
      </c>
    </row>
    <row r="5" spans="1:20" ht="15.75" thickBot="1">
      <c r="A5" s="15" t="s">
        <v>10</v>
      </c>
      <c r="B5" s="16"/>
      <c r="C5" s="13">
        <v>22080</v>
      </c>
      <c r="D5" s="18" t="s">
        <v>4</v>
      </c>
      <c r="E5" s="50"/>
      <c r="F5" s="70"/>
      <c r="G5" s="13">
        <f>C5</f>
        <v>22080</v>
      </c>
      <c r="H5" s="12" t="s">
        <v>4</v>
      </c>
      <c r="I5" s="234"/>
      <c r="J5" s="236"/>
      <c r="K5" s="42">
        <f>IF(I3&gt;=$Q$3,$Q$3,I3)</f>
        <v>22080</v>
      </c>
      <c r="L5" s="43" t="s">
        <v>4</v>
      </c>
      <c r="M5" s="44">
        <f>ROUNDDOWN(K5/12,0)</f>
        <v>1840</v>
      </c>
      <c r="N5" s="45" t="s">
        <v>4</v>
      </c>
      <c r="O5" s="95" t="str">
        <f>IF(I3&gt;$Q$3,"限度額超過","")</f>
        <v/>
      </c>
      <c r="Q5">
        <v>160000</v>
      </c>
    </row>
    <row r="6" spans="1:20" ht="15.75" thickBot="1">
      <c r="A6" s="3" t="s">
        <v>30</v>
      </c>
      <c r="B6" s="4"/>
      <c r="C6" s="5"/>
      <c r="D6" s="6"/>
      <c r="E6" s="61"/>
      <c r="F6" s="71"/>
      <c r="G6" s="62"/>
      <c r="H6" s="35"/>
      <c r="I6" s="92"/>
      <c r="J6" s="35"/>
      <c r="K6" s="35"/>
      <c r="L6" s="35"/>
      <c r="M6" s="35"/>
      <c r="N6" s="37"/>
    </row>
    <row r="7" spans="1:20" ht="16.5" thickTop="1" thickBot="1">
      <c r="A7" s="7" t="s">
        <v>2</v>
      </c>
      <c r="B7" s="8"/>
      <c r="C7" s="9">
        <v>3.38</v>
      </c>
      <c r="D7" s="10" t="s">
        <v>3</v>
      </c>
      <c r="E7" s="68">
        <f>E3</f>
        <v>0</v>
      </c>
      <c r="F7" s="70" t="s">
        <v>4</v>
      </c>
      <c r="G7" s="13">
        <f>ROUNDDOWN((C7*E7)/100,0)</f>
        <v>0</v>
      </c>
      <c r="H7" s="12" t="s">
        <v>19</v>
      </c>
      <c r="I7" s="232">
        <f>G7+G8+G9</f>
        <v>8160</v>
      </c>
      <c r="J7" s="235" t="s">
        <v>4</v>
      </c>
      <c r="K7" s="229" t="s">
        <v>35</v>
      </c>
      <c r="L7" s="230"/>
      <c r="M7" s="230"/>
      <c r="N7" s="231"/>
    </row>
    <row r="8" spans="1:20" ht="15.75" thickTop="1">
      <c r="A8" s="11" t="s">
        <v>6</v>
      </c>
      <c r="B8" s="12"/>
      <c r="C8" s="13">
        <v>9840</v>
      </c>
      <c r="D8" s="14" t="s">
        <v>4</v>
      </c>
      <c r="E8" s="68">
        <f>E4</f>
        <v>0</v>
      </c>
      <c r="F8" s="70" t="s">
        <v>7</v>
      </c>
      <c r="G8" s="13">
        <f>ROUNDDOWN(C8*E8,0)</f>
        <v>0</v>
      </c>
      <c r="H8" s="12" t="s">
        <v>19</v>
      </c>
      <c r="I8" s="233"/>
      <c r="J8" s="228"/>
      <c r="K8" s="39" t="s">
        <v>8</v>
      </c>
      <c r="L8" s="40"/>
      <c r="M8" s="38" t="s">
        <v>9</v>
      </c>
      <c r="N8" s="41"/>
      <c r="Q8" t="s">
        <v>31</v>
      </c>
      <c r="R8" t="s">
        <v>32</v>
      </c>
      <c r="S8" t="s">
        <v>33</v>
      </c>
      <c r="T8" t="s">
        <v>34</v>
      </c>
    </row>
    <row r="9" spans="1:20" ht="15.75" thickBot="1">
      <c r="A9" s="15" t="s">
        <v>10</v>
      </c>
      <c r="B9" s="16"/>
      <c r="C9" s="13">
        <v>8160</v>
      </c>
      <c r="D9" s="18" t="s">
        <v>4</v>
      </c>
      <c r="E9" s="76"/>
      <c r="F9" s="70"/>
      <c r="G9" s="13">
        <f>C9</f>
        <v>8160</v>
      </c>
      <c r="H9" s="12" t="s">
        <v>19</v>
      </c>
      <c r="I9" s="234"/>
      <c r="J9" s="236"/>
      <c r="K9" s="42">
        <f>IF(I7&gt;=$Q$4,$Q$4,I7)</f>
        <v>8160</v>
      </c>
      <c r="L9" s="43" t="s">
        <v>4</v>
      </c>
      <c r="M9" s="44">
        <f>ROUNDDOWN(K9/12,0)</f>
        <v>680</v>
      </c>
      <c r="N9" s="45" t="s">
        <v>4</v>
      </c>
      <c r="O9" s="95" t="str">
        <f>IF(I7&gt;$Q$4,"限度額超過","")</f>
        <v/>
      </c>
      <c r="Q9">
        <v>1</v>
      </c>
      <c r="R9">
        <v>0.7</v>
      </c>
      <c r="S9">
        <v>0.5</v>
      </c>
      <c r="T9">
        <v>0.2</v>
      </c>
    </row>
    <row r="10" spans="1:20" ht="15.75" thickBot="1">
      <c r="A10" s="20" t="s">
        <v>13</v>
      </c>
      <c r="B10" s="21"/>
      <c r="C10" s="22"/>
      <c r="D10" s="23"/>
      <c r="E10" s="50"/>
      <c r="F10" s="71"/>
      <c r="G10" s="62"/>
      <c r="H10" s="35"/>
      <c r="I10" s="92"/>
      <c r="J10" s="35"/>
      <c r="K10" s="35"/>
      <c r="L10" s="35"/>
      <c r="M10" s="35"/>
      <c r="N10" s="37"/>
      <c r="Q10">
        <v>25440</v>
      </c>
      <c r="R10">
        <f>ROUNDDOWN($Q10*(1-R$9),0)</f>
        <v>7632</v>
      </c>
      <c r="S10">
        <f t="shared" ref="R10:T15" si="0">ROUNDDOWN($Q10*(1-S$9),0)</f>
        <v>12720</v>
      </c>
      <c r="T10">
        <f t="shared" si="0"/>
        <v>20352</v>
      </c>
    </row>
    <row r="11" spans="1:20" ht="16.5" thickTop="1" thickBot="1">
      <c r="A11" s="24" t="s">
        <v>2</v>
      </c>
      <c r="B11" s="25"/>
      <c r="C11" s="26">
        <v>3.3</v>
      </c>
      <c r="D11" s="27" t="s">
        <v>3</v>
      </c>
      <c r="E11" s="90"/>
      <c r="F11" s="70" t="s">
        <v>4</v>
      </c>
      <c r="G11" s="13">
        <f>ROUNDDOWN((C11*E11)/100,0)</f>
        <v>0</v>
      </c>
      <c r="H11" s="12" t="s">
        <v>19</v>
      </c>
      <c r="I11" s="232">
        <f>G11+G12+G13</f>
        <v>6720</v>
      </c>
      <c r="J11" s="235" t="s">
        <v>4</v>
      </c>
      <c r="K11" s="229" t="s">
        <v>14</v>
      </c>
      <c r="L11" s="230"/>
      <c r="M11" s="230"/>
      <c r="N11" s="231"/>
      <c r="Q11">
        <v>21840</v>
      </c>
      <c r="R11">
        <f t="shared" si="0"/>
        <v>6552</v>
      </c>
      <c r="S11">
        <f t="shared" si="0"/>
        <v>10920</v>
      </c>
      <c r="T11">
        <f t="shared" si="0"/>
        <v>17472</v>
      </c>
    </row>
    <row r="12" spans="1:20" ht="15.75" thickTop="1">
      <c r="A12" s="11" t="s">
        <v>6</v>
      </c>
      <c r="B12" s="12"/>
      <c r="C12" s="13">
        <v>11520</v>
      </c>
      <c r="D12" s="14" t="s">
        <v>4</v>
      </c>
      <c r="E12" s="67"/>
      <c r="F12" s="70" t="s">
        <v>7</v>
      </c>
      <c r="G12" s="13">
        <f>ROUNDDOWN(C12*E12,0)</f>
        <v>0</v>
      </c>
      <c r="H12" s="12" t="s">
        <v>19</v>
      </c>
      <c r="I12" s="233"/>
      <c r="J12" s="228"/>
      <c r="K12" s="39" t="s">
        <v>8</v>
      </c>
      <c r="L12" s="40"/>
      <c r="M12" s="38" t="s">
        <v>9</v>
      </c>
      <c r="N12" s="41"/>
      <c r="Q12">
        <v>10800</v>
      </c>
      <c r="R12">
        <f t="shared" si="0"/>
        <v>3240</v>
      </c>
      <c r="S12">
        <f t="shared" si="0"/>
        <v>5400</v>
      </c>
      <c r="T12">
        <f t="shared" si="0"/>
        <v>8640</v>
      </c>
    </row>
    <row r="13" spans="1:20" ht="15.75" thickBot="1">
      <c r="A13" s="28" t="s">
        <v>10</v>
      </c>
      <c r="B13" s="29"/>
      <c r="C13" s="30">
        <v>6720</v>
      </c>
      <c r="D13" s="31" t="s">
        <v>4</v>
      </c>
      <c r="E13" s="63"/>
      <c r="F13" s="72"/>
      <c r="G13" s="30">
        <f>C13</f>
        <v>6720</v>
      </c>
      <c r="H13" s="29" t="s">
        <v>19</v>
      </c>
      <c r="I13" s="237"/>
      <c r="J13" s="238"/>
      <c r="K13" s="42">
        <f>IF(I11&gt;=$Q$5,$Q$5,I11)</f>
        <v>6720</v>
      </c>
      <c r="L13" s="43" t="s">
        <v>4</v>
      </c>
      <c r="M13" s="44">
        <f>ROUNDDOWN(K13/12,0)</f>
        <v>560</v>
      </c>
      <c r="N13" s="45" t="s">
        <v>4</v>
      </c>
      <c r="O13" s="95" t="str">
        <f>IF(I11&gt;$Q$5,"限度額超過","")</f>
        <v/>
      </c>
      <c r="Q13">
        <v>9120</v>
      </c>
      <c r="R13">
        <f t="shared" si="0"/>
        <v>2736</v>
      </c>
      <c r="S13">
        <f t="shared" si="0"/>
        <v>4560</v>
      </c>
      <c r="T13">
        <f t="shared" si="0"/>
        <v>7296</v>
      </c>
    </row>
    <row r="14" spans="1:20" ht="15.75" thickBot="1">
      <c r="A14" s="1"/>
      <c r="B14" s="1"/>
      <c r="C14" s="1"/>
      <c r="D14" s="1"/>
      <c r="E14" s="1"/>
      <c r="F14" s="1"/>
      <c r="G14" s="1"/>
      <c r="H14" s="1"/>
      <c r="I14" s="91"/>
      <c r="J14" s="1"/>
      <c r="K14" s="226" t="s">
        <v>15</v>
      </c>
      <c r="L14" s="227"/>
      <c r="M14" s="227"/>
      <c r="N14" s="228"/>
      <c r="Q14">
        <v>10320</v>
      </c>
      <c r="R14">
        <f t="shared" si="0"/>
        <v>3096</v>
      </c>
      <c r="S14">
        <f t="shared" si="0"/>
        <v>5160</v>
      </c>
      <c r="T14">
        <f t="shared" si="0"/>
        <v>8256</v>
      </c>
    </row>
    <row r="15" spans="1:20" ht="15.75" thickTop="1">
      <c r="A15" s="1"/>
      <c r="B15" s="1"/>
      <c r="C15" s="1"/>
      <c r="F15" s="1"/>
      <c r="G15" s="1" t="s">
        <v>37</v>
      </c>
      <c r="H15" s="1"/>
      <c r="J15" s="1"/>
      <c r="K15" s="39" t="s">
        <v>8</v>
      </c>
      <c r="L15" s="40"/>
      <c r="M15" s="38" t="s">
        <v>9</v>
      </c>
      <c r="N15" s="41"/>
      <c r="Q15">
        <v>6000</v>
      </c>
      <c r="R15">
        <f t="shared" si="0"/>
        <v>1800</v>
      </c>
      <c r="S15">
        <f t="shared" si="0"/>
        <v>3000</v>
      </c>
      <c r="T15">
        <f t="shared" si="0"/>
        <v>4800</v>
      </c>
    </row>
    <row r="16" spans="1:20" ht="15.75" thickBot="1">
      <c r="A16" s="1"/>
      <c r="B16" s="1"/>
      <c r="C16" s="1"/>
      <c r="F16" s="1"/>
      <c r="G16" s="1" t="s">
        <v>38</v>
      </c>
      <c r="H16" s="1"/>
      <c r="J16" s="1"/>
      <c r="K16" s="51">
        <f>K5+K9</f>
        <v>30240</v>
      </c>
      <c r="L16" s="52" t="s">
        <v>4</v>
      </c>
      <c r="M16" s="53">
        <f>ROUNDDOWN(K16/12,0)</f>
        <v>2520</v>
      </c>
      <c r="N16" s="54" t="s">
        <v>4</v>
      </c>
      <c r="O16" s="94" t="s">
        <v>39</v>
      </c>
    </row>
    <row r="17" spans="1:15" ht="15.75" thickBot="1">
      <c r="A17" s="1"/>
      <c r="B17" s="1"/>
      <c r="C17" s="1"/>
      <c r="F17" s="1"/>
      <c r="G17" s="1" t="s">
        <v>29</v>
      </c>
      <c r="H17" s="1"/>
      <c r="J17" s="1"/>
      <c r="K17" s="229" t="s">
        <v>36</v>
      </c>
      <c r="L17" s="230"/>
      <c r="M17" s="230"/>
      <c r="N17" s="231"/>
    </row>
    <row r="18" spans="1:15" ht="15.75" thickTop="1">
      <c r="A18" s="1"/>
      <c r="B18" s="1"/>
      <c r="C18" s="1"/>
      <c r="D18" s="1"/>
      <c r="E18" s="1"/>
      <c r="F18" s="1"/>
      <c r="G18" s="1"/>
      <c r="H18" s="1"/>
      <c r="I18" s="91"/>
      <c r="J18" s="1"/>
      <c r="K18" s="39" t="s">
        <v>8</v>
      </c>
      <c r="L18" s="40"/>
      <c r="M18" s="38" t="s">
        <v>9</v>
      </c>
      <c r="N18" s="41"/>
    </row>
    <row r="19" spans="1:15" ht="15.75" thickBot="1">
      <c r="A19" s="1"/>
      <c r="B19" s="1"/>
      <c r="C19" s="1"/>
      <c r="D19" s="1"/>
      <c r="E19" s="1"/>
      <c r="F19" s="1"/>
      <c r="G19" s="1"/>
      <c r="H19" s="1"/>
      <c r="I19" s="91"/>
      <c r="J19" s="1"/>
      <c r="K19" s="46">
        <f>K16+K13</f>
        <v>36960</v>
      </c>
      <c r="L19" s="47" t="s">
        <v>4</v>
      </c>
      <c r="M19" s="48">
        <f>ROUNDDOWN(K19/12,0)</f>
        <v>3080</v>
      </c>
      <c r="N19" s="49" t="s">
        <v>4</v>
      </c>
      <c r="O19" s="94" t="s">
        <v>40</v>
      </c>
    </row>
    <row r="20" spans="1:15" ht="15">
      <c r="A20" s="1"/>
      <c r="B20" s="1"/>
      <c r="C20" s="1"/>
      <c r="D20" s="1"/>
      <c r="E20" s="1"/>
      <c r="F20" s="1"/>
      <c r="G20" s="1"/>
      <c r="H20" s="1"/>
      <c r="I20" s="91"/>
      <c r="J20" s="1"/>
      <c r="K20" s="56"/>
      <c r="L20" s="57"/>
      <c r="M20" s="58"/>
      <c r="N20" s="57"/>
    </row>
    <row r="21" spans="1:15" ht="15">
      <c r="A21" s="1"/>
      <c r="B21" s="1"/>
      <c r="C21" s="1"/>
      <c r="D21" s="1"/>
      <c r="E21" s="1"/>
      <c r="F21" s="1"/>
      <c r="G21" s="1"/>
      <c r="H21" s="1"/>
      <c r="I21" s="91"/>
      <c r="J21" s="1"/>
      <c r="K21" s="56"/>
      <c r="L21" s="57"/>
      <c r="M21" s="58"/>
      <c r="N21" s="57"/>
    </row>
    <row r="22" spans="1:15" ht="15">
      <c r="A22" s="1"/>
      <c r="B22" s="1"/>
      <c r="C22" s="1"/>
      <c r="D22" s="1"/>
      <c r="E22" s="1"/>
      <c r="F22" s="1"/>
      <c r="G22" s="1"/>
      <c r="H22" s="1"/>
      <c r="I22" s="91"/>
      <c r="J22" s="1"/>
      <c r="K22" s="56"/>
      <c r="L22" s="57"/>
      <c r="M22" s="58"/>
      <c r="N22" s="57"/>
    </row>
    <row r="23" spans="1:15" ht="15">
      <c r="A23" s="1"/>
      <c r="B23" s="1"/>
      <c r="C23" s="1"/>
      <c r="D23" s="1"/>
      <c r="E23" s="1"/>
      <c r="F23" s="1"/>
      <c r="G23" s="1"/>
      <c r="H23" s="1"/>
      <c r="I23" s="91"/>
      <c r="J23" s="1"/>
      <c r="K23" s="56"/>
      <c r="L23" s="57"/>
      <c r="M23" s="58"/>
      <c r="N23" s="57"/>
    </row>
    <row r="24" spans="1:15" ht="15">
      <c r="A24" s="1"/>
      <c r="B24" s="1"/>
      <c r="C24" s="1"/>
      <c r="D24" s="1"/>
      <c r="E24" s="1"/>
      <c r="F24" s="1"/>
      <c r="G24" s="1"/>
      <c r="H24" s="1"/>
      <c r="I24" s="91"/>
      <c r="J24" s="1"/>
      <c r="K24" s="56"/>
      <c r="L24" s="57"/>
      <c r="M24" s="58"/>
      <c r="N24" s="57"/>
    </row>
    <row r="25" spans="1:15" ht="15">
      <c r="A25" s="1"/>
      <c r="B25" s="1"/>
      <c r="C25" s="1"/>
      <c r="D25" s="1"/>
      <c r="E25" s="1"/>
      <c r="F25" s="1"/>
      <c r="G25" s="1"/>
      <c r="H25" s="1"/>
      <c r="I25" s="91"/>
      <c r="J25" s="1"/>
      <c r="K25" s="56"/>
      <c r="L25" s="57"/>
      <c r="M25" s="58"/>
      <c r="N25" s="57"/>
    </row>
    <row r="27" spans="1:15" ht="15.75" thickBot="1">
      <c r="A27" s="32" t="s">
        <v>16</v>
      </c>
      <c r="B27" s="1"/>
      <c r="C27" s="1"/>
      <c r="D27" s="1"/>
      <c r="E27" s="1"/>
      <c r="F27" s="1"/>
      <c r="G27" s="1"/>
      <c r="H27" s="1"/>
      <c r="I27" s="91"/>
      <c r="J27" s="1"/>
      <c r="K27" s="1"/>
      <c r="L27" s="1"/>
      <c r="M27" s="1"/>
      <c r="N27" s="1"/>
    </row>
    <row r="28" spans="1:15" ht="15.75" thickBot="1">
      <c r="A28" s="3" t="s">
        <v>1</v>
      </c>
      <c r="B28" s="4"/>
      <c r="C28" s="5"/>
      <c r="D28" s="6"/>
      <c r="E28" s="1"/>
      <c r="F28" s="1"/>
      <c r="G28" s="1"/>
      <c r="H28" s="1"/>
      <c r="I28" s="91"/>
      <c r="J28" s="1"/>
      <c r="K28" s="55"/>
      <c r="L28" s="1"/>
      <c r="M28" s="1"/>
      <c r="N28" s="1"/>
    </row>
    <row r="29" spans="1:15" ht="16.5" thickTop="1" thickBot="1">
      <c r="A29" s="7" t="s">
        <v>2</v>
      </c>
      <c r="B29" s="8"/>
      <c r="C29" s="9">
        <f>C3</f>
        <v>9.09</v>
      </c>
      <c r="D29" s="10" t="s">
        <v>3</v>
      </c>
      <c r="E29" s="66"/>
      <c r="F29" s="69" t="s">
        <v>4</v>
      </c>
      <c r="G29" s="60">
        <f>ROUNDDOWN((C29*E29)/100,0)</f>
        <v>0</v>
      </c>
      <c r="H29" s="59" t="s">
        <v>4</v>
      </c>
      <c r="I29" s="239">
        <f>G29+G30+G31</f>
        <v>17664</v>
      </c>
      <c r="J29" s="231" t="s">
        <v>4</v>
      </c>
      <c r="K29" s="229" t="s">
        <v>5</v>
      </c>
      <c r="L29" s="230"/>
      <c r="M29" s="230"/>
      <c r="N29" s="231"/>
    </row>
    <row r="30" spans="1:15" ht="15.75" thickTop="1">
      <c r="A30" s="11" t="s">
        <v>6</v>
      </c>
      <c r="B30" s="12"/>
      <c r="C30" s="13">
        <f>C4*0.8</f>
        <v>21312</v>
      </c>
      <c r="D30" s="14" t="s">
        <v>4</v>
      </c>
      <c r="E30" s="67"/>
      <c r="F30" s="70" t="s">
        <v>7</v>
      </c>
      <c r="G30" s="13">
        <f>ROUNDDOWN(C30*E30,0)</f>
        <v>0</v>
      </c>
      <c r="H30" s="12" t="s">
        <v>4</v>
      </c>
      <c r="I30" s="233"/>
      <c r="J30" s="228"/>
      <c r="K30" s="39" t="s">
        <v>8</v>
      </c>
      <c r="L30" s="40"/>
      <c r="M30" s="38" t="s">
        <v>9</v>
      </c>
      <c r="N30" s="41"/>
    </row>
    <row r="31" spans="1:15" ht="15.75" thickBot="1">
      <c r="A31" s="15" t="s">
        <v>10</v>
      </c>
      <c r="B31" s="16"/>
      <c r="C31" s="17">
        <f>C5*0.8</f>
        <v>17664</v>
      </c>
      <c r="D31" s="18" t="s">
        <v>4</v>
      </c>
      <c r="E31" s="50"/>
      <c r="F31" s="70"/>
      <c r="G31" s="13">
        <f>C31</f>
        <v>17664</v>
      </c>
      <c r="H31" s="12" t="s">
        <v>4</v>
      </c>
      <c r="I31" s="234"/>
      <c r="J31" s="236"/>
      <c r="K31" s="42">
        <f>IF(I29&gt;=$Q$3,$Q$3,I29)</f>
        <v>17664</v>
      </c>
      <c r="L31" s="43" t="s">
        <v>4</v>
      </c>
      <c r="M31" s="44">
        <f>ROUNDDOWN(K31/12,0)</f>
        <v>1472</v>
      </c>
      <c r="N31" s="45" t="s">
        <v>4</v>
      </c>
      <c r="O31" s="95" t="str">
        <f>IF(I29&gt;$Q$3,"限度額超過","")</f>
        <v/>
      </c>
    </row>
    <row r="32" spans="1:15" ht="15.75" thickBot="1">
      <c r="A32" s="3" t="s">
        <v>30</v>
      </c>
      <c r="B32" s="4"/>
      <c r="C32" s="5"/>
      <c r="D32" s="6"/>
      <c r="E32" s="61"/>
      <c r="F32" s="71"/>
      <c r="G32" s="62"/>
      <c r="H32" s="35"/>
      <c r="I32" s="92"/>
      <c r="J32" s="35"/>
      <c r="K32" s="35"/>
      <c r="L32" s="35"/>
      <c r="M32" s="35"/>
      <c r="N32" s="37"/>
    </row>
    <row r="33" spans="1:15" ht="16.5" thickTop="1" thickBot="1">
      <c r="A33" s="7" t="s">
        <v>2</v>
      </c>
      <c r="B33" s="8"/>
      <c r="C33" s="9">
        <f>C7</f>
        <v>3.38</v>
      </c>
      <c r="D33" s="10" t="s">
        <v>3</v>
      </c>
      <c r="E33" s="68">
        <f>E29</f>
        <v>0</v>
      </c>
      <c r="F33" s="70" t="s">
        <v>4</v>
      </c>
      <c r="G33" s="13">
        <f>ROUNDDOWN((C33*E33)/100,0)</f>
        <v>0</v>
      </c>
      <c r="H33" s="12" t="s">
        <v>19</v>
      </c>
      <c r="I33" s="232">
        <f>G33+G34+G35</f>
        <v>6528</v>
      </c>
      <c r="J33" s="235" t="s">
        <v>4</v>
      </c>
      <c r="K33" s="229" t="s">
        <v>35</v>
      </c>
      <c r="L33" s="230"/>
      <c r="M33" s="230"/>
      <c r="N33" s="231"/>
    </row>
    <row r="34" spans="1:15" ht="15.75" thickTop="1">
      <c r="A34" s="11" t="s">
        <v>6</v>
      </c>
      <c r="B34" s="12"/>
      <c r="C34" s="13">
        <f>C8*0.8</f>
        <v>7872</v>
      </c>
      <c r="D34" s="14" t="s">
        <v>4</v>
      </c>
      <c r="E34" s="68">
        <f>E30</f>
        <v>0</v>
      </c>
      <c r="F34" s="70" t="s">
        <v>7</v>
      </c>
      <c r="G34" s="13">
        <f>ROUNDDOWN(C34*E34,0)</f>
        <v>0</v>
      </c>
      <c r="H34" s="12" t="s">
        <v>19</v>
      </c>
      <c r="I34" s="233"/>
      <c r="J34" s="228"/>
      <c r="K34" s="39" t="s">
        <v>8</v>
      </c>
      <c r="L34" s="40"/>
      <c r="M34" s="38" t="s">
        <v>9</v>
      </c>
      <c r="N34" s="41"/>
    </row>
    <row r="35" spans="1:15" ht="15.75" thickBot="1">
      <c r="A35" s="15" t="s">
        <v>10</v>
      </c>
      <c r="B35" s="16"/>
      <c r="C35" s="13">
        <f>C9*0.8</f>
        <v>6528</v>
      </c>
      <c r="D35" s="18" t="s">
        <v>4</v>
      </c>
      <c r="E35" s="50"/>
      <c r="F35" s="70"/>
      <c r="G35" s="13">
        <f>C35</f>
        <v>6528</v>
      </c>
      <c r="H35" s="12" t="s">
        <v>19</v>
      </c>
      <c r="I35" s="234"/>
      <c r="J35" s="236"/>
      <c r="K35" s="42">
        <f>IF(I33&gt;=$Q$4,$Q$4,I33)</f>
        <v>6528</v>
      </c>
      <c r="L35" s="43" t="s">
        <v>4</v>
      </c>
      <c r="M35" s="44">
        <f>ROUNDDOWN(K35/12,0)</f>
        <v>544</v>
      </c>
      <c r="N35" s="45" t="s">
        <v>4</v>
      </c>
      <c r="O35" s="95" t="str">
        <f>IF(I33&gt;$Q$4,"限度額超過","")</f>
        <v/>
      </c>
    </row>
    <row r="36" spans="1:15" ht="15.75" thickBot="1">
      <c r="A36" s="20" t="s">
        <v>13</v>
      </c>
      <c r="B36" s="21"/>
      <c r="C36" s="22"/>
      <c r="D36" s="23"/>
      <c r="E36" s="50"/>
      <c r="F36" s="71"/>
      <c r="G36" s="62"/>
      <c r="H36" s="35"/>
      <c r="I36" s="92"/>
      <c r="J36" s="35"/>
      <c r="K36" s="35"/>
      <c r="L36" s="35"/>
      <c r="M36" s="35"/>
      <c r="N36" s="37"/>
    </row>
    <row r="37" spans="1:15" ht="16.5" thickTop="1" thickBot="1">
      <c r="A37" s="24" t="s">
        <v>2</v>
      </c>
      <c r="B37" s="25"/>
      <c r="C37" s="26">
        <f>C11</f>
        <v>3.3</v>
      </c>
      <c r="D37" s="27" t="s">
        <v>3</v>
      </c>
      <c r="E37" s="90"/>
      <c r="F37" s="70" t="s">
        <v>4</v>
      </c>
      <c r="G37" s="13">
        <f>ROUNDDOWN((C37*E37)/100,0)</f>
        <v>0</v>
      </c>
      <c r="H37" s="12" t="s">
        <v>19</v>
      </c>
      <c r="I37" s="232">
        <f>G37+G38+G39</f>
        <v>5376</v>
      </c>
      <c r="J37" s="235" t="s">
        <v>4</v>
      </c>
      <c r="K37" s="229" t="s">
        <v>14</v>
      </c>
      <c r="L37" s="230"/>
      <c r="M37" s="230"/>
      <c r="N37" s="231"/>
    </row>
    <row r="38" spans="1:15" ht="15.75" thickTop="1">
      <c r="A38" s="11" t="s">
        <v>6</v>
      </c>
      <c r="B38" s="12"/>
      <c r="C38" s="13">
        <f t="shared" ref="C38:C39" si="1">C12*0.8</f>
        <v>9216</v>
      </c>
      <c r="D38" s="14" t="s">
        <v>4</v>
      </c>
      <c r="E38" s="67"/>
      <c r="F38" s="70" t="s">
        <v>7</v>
      </c>
      <c r="G38" s="13">
        <f>ROUNDDOWN(C38*E38,0)</f>
        <v>0</v>
      </c>
      <c r="H38" s="12" t="s">
        <v>19</v>
      </c>
      <c r="I38" s="233"/>
      <c r="J38" s="228"/>
      <c r="K38" s="39" t="s">
        <v>8</v>
      </c>
      <c r="L38" s="40"/>
      <c r="M38" s="38" t="s">
        <v>9</v>
      </c>
      <c r="N38" s="41"/>
    </row>
    <row r="39" spans="1:15" ht="15.75" thickBot="1">
      <c r="A39" s="28" t="s">
        <v>10</v>
      </c>
      <c r="B39" s="29"/>
      <c r="C39" s="30">
        <f t="shared" si="1"/>
        <v>5376</v>
      </c>
      <c r="D39" s="31" t="s">
        <v>4</v>
      </c>
      <c r="E39" s="63"/>
      <c r="F39" s="72"/>
      <c r="G39" s="30">
        <f>C39</f>
        <v>5376</v>
      </c>
      <c r="H39" s="29" t="s">
        <v>19</v>
      </c>
      <c r="I39" s="237"/>
      <c r="J39" s="238"/>
      <c r="K39" s="42">
        <f>IF(I37&gt;=$Q$5,$Q$5,I37)</f>
        <v>5376</v>
      </c>
      <c r="L39" s="43" t="s">
        <v>4</v>
      </c>
      <c r="M39" s="44">
        <f>ROUNDDOWN(K39/12,0)</f>
        <v>448</v>
      </c>
      <c r="N39" s="45" t="s">
        <v>4</v>
      </c>
      <c r="O39" s="95" t="str">
        <f>IF(I37&gt;$Q$5,"限度額超過","")</f>
        <v/>
      </c>
    </row>
    <row r="40" spans="1:15" ht="15.75" thickBot="1">
      <c r="A40" s="1"/>
      <c r="B40" s="1"/>
      <c r="C40" s="1"/>
      <c r="D40" s="1"/>
      <c r="E40" s="1"/>
      <c r="F40" s="1"/>
      <c r="G40" s="1"/>
      <c r="H40" s="1"/>
      <c r="I40" s="91"/>
      <c r="J40" s="1"/>
      <c r="K40" s="226" t="s">
        <v>15</v>
      </c>
      <c r="L40" s="227"/>
      <c r="M40" s="227"/>
      <c r="N40" s="228"/>
    </row>
    <row r="41" spans="1:15" ht="15.75" thickTop="1">
      <c r="A41" s="1"/>
      <c r="B41" s="1"/>
      <c r="C41" s="1"/>
      <c r="D41" s="1"/>
      <c r="E41" s="1"/>
      <c r="F41" s="1"/>
      <c r="G41" s="1" t="s">
        <v>37</v>
      </c>
      <c r="H41" s="1"/>
      <c r="I41" s="91"/>
      <c r="J41" s="1"/>
      <c r="K41" s="39" t="s">
        <v>8</v>
      </c>
      <c r="L41" s="40"/>
      <c r="M41" s="38" t="s">
        <v>9</v>
      </c>
      <c r="N41" s="41"/>
    </row>
    <row r="42" spans="1:15" ht="15.75" thickBot="1">
      <c r="A42" s="1"/>
      <c r="B42" s="1"/>
      <c r="C42" s="1"/>
      <c r="D42" s="1"/>
      <c r="E42" s="1"/>
      <c r="F42" s="1"/>
      <c r="G42" s="1" t="s">
        <v>38</v>
      </c>
      <c r="H42" s="1"/>
      <c r="I42" s="91"/>
      <c r="J42" s="1"/>
      <c r="K42" s="51">
        <f>K31+K35</f>
        <v>24192</v>
      </c>
      <c r="L42" s="52" t="s">
        <v>4</v>
      </c>
      <c r="M42" s="53">
        <f>ROUNDDOWN(K42/12,0)</f>
        <v>2016</v>
      </c>
      <c r="N42" s="54" t="s">
        <v>4</v>
      </c>
      <c r="O42" s="94" t="s">
        <v>39</v>
      </c>
    </row>
    <row r="43" spans="1:15" ht="15.75" thickBot="1">
      <c r="A43" s="1"/>
      <c r="B43" s="1"/>
      <c r="C43" s="1"/>
      <c r="D43" s="1"/>
      <c r="E43" s="1"/>
      <c r="F43" s="1"/>
      <c r="G43" s="1" t="s">
        <v>29</v>
      </c>
      <c r="H43" s="1"/>
      <c r="I43" s="91"/>
      <c r="J43" s="1"/>
      <c r="K43" s="229" t="s">
        <v>36</v>
      </c>
      <c r="L43" s="230"/>
      <c r="M43" s="230"/>
      <c r="N43" s="231"/>
    </row>
    <row r="44" spans="1:15" ht="15.75" thickTop="1">
      <c r="A44" s="1"/>
      <c r="B44" s="1"/>
      <c r="C44" s="1"/>
      <c r="D44" s="1"/>
      <c r="E44" s="1"/>
      <c r="F44" s="1"/>
      <c r="G44" s="1"/>
      <c r="H44" s="1"/>
      <c r="I44" s="91"/>
      <c r="J44" s="1"/>
      <c r="K44" s="39" t="s">
        <v>8</v>
      </c>
      <c r="L44" s="40"/>
      <c r="M44" s="38" t="s">
        <v>9</v>
      </c>
      <c r="N44" s="41"/>
    </row>
    <row r="45" spans="1:15" ht="15.75" thickBot="1">
      <c r="A45" s="1"/>
      <c r="B45" s="1"/>
      <c r="C45" s="1"/>
      <c r="D45" s="1"/>
      <c r="E45" s="1"/>
      <c r="F45" s="1"/>
      <c r="G45" s="1"/>
      <c r="H45" s="1"/>
      <c r="I45" s="91"/>
      <c r="J45" s="1"/>
      <c r="K45" s="46">
        <f>K42+K39</f>
        <v>29568</v>
      </c>
      <c r="L45" s="47" t="s">
        <v>4</v>
      </c>
      <c r="M45" s="48">
        <f>ROUNDDOWN(K45/12,0)</f>
        <v>2464</v>
      </c>
      <c r="N45" s="49" t="s">
        <v>4</v>
      </c>
      <c r="O45" s="94" t="s">
        <v>40</v>
      </c>
    </row>
    <row r="49" spans="1:17" ht="15.75" thickBot="1">
      <c r="A49" s="32" t="s">
        <v>17</v>
      </c>
      <c r="B49" s="1"/>
      <c r="C49" s="1"/>
      <c r="D49" s="1"/>
      <c r="E49" s="1"/>
      <c r="F49" s="1"/>
      <c r="G49" s="1"/>
      <c r="H49" s="1"/>
      <c r="I49" s="91"/>
      <c r="J49" s="1"/>
      <c r="K49" s="1"/>
      <c r="L49" s="1"/>
      <c r="M49" s="1"/>
      <c r="N49" s="1"/>
      <c r="O49" s="96"/>
      <c r="P49" s="1"/>
      <c r="Q49" s="1"/>
    </row>
    <row r="50" spans="1:17" ht="15.75" thickBot="1">
      <c r="A50" s="3" t="s">
        <v>1</v>
      </c>
      <c r="B50" s="4"/>
      <c r="C50" s="5"/>
      <c r="D50" s="6"/>
      <c r="E50" s="1"/>
      <c r="F50" s="1"/>
      <c r="G50" s="1"/>
      <c r="H50" s="1"/>
      <c r="I50" s="91"/>
      <c r="J50" s="1"/>
      <c r="K50" s="55"/>
      <c r="L50" s="1"/>
      <c r="M50" s="1"/>
      <c r="N50" s="1"/>
      <c r="O50" s="96"/>
      <c r="P50" s="1"/>
      <c r="Q50" s="1"/>
    </row>
    <row r="51" spans="1:17" ht="16.5" thickTop="1" thickBot="1">
      <c r="A51" s="7" t="s">
        <v>2</v>
      </c>
      <c r="B51" s="8"/>
      <c r="C51" s="9">
        <f>C3</f>
        <v>9.09</v>
      </c>
      <c r="D51" s="10" t="s">
        <v>3</v>
      </c>
      <c r="E51" s="66"/>
      <c r="F51" s="69" t="s">
        <v>4</v>
      </c>
      <c r="G51" s="60">
        <f>ROUNDDOWN((C51*E51)/100,0)</f>
        <v>0</v>
      </c>
      <c r="H51" s="59" t="s">
        <v>4</v>
      </c>
      <c r="I51" s="239">
        <f>G51+G52+G53</f>
        <v>11040</v>
      </c>
      <c r="J51" s="231" t="s">
        <v>4</v>
      </c>
      <c r="K51" s="229" t="s">
        <v>5</v>
      </c>
      <c r="L51" s="230"/>
      <c r="M51" s="230"/>
      <c r="N51" s="231"/>
      <c r="O51" s="96"/>
      <c r="P51" s="1"/>
      <c r="Q51" s="1"/>
    </row>
    <row r="52" spans="1:17" ht="15.75" thickTop="1">
      <c r="A52" s="11" t="s">
        <v>6</v>
      </c>
      <c r="B52" s="12"/>
      <c r="C52" s="13">
        <f>C4*0.5</f>
        <v>13320</v>
      </c>
      <c r="D52" s="14" t="s">
        <v>4</v>
      </c>
      <c r="E52" s="67"/>
      <c r="F52" s="70" t="s">
        <v>7</v>
      </c>
      <c r="G52" s="13">
        <f>ROUNDDOWN(C52*E52,0)</f>
        <v>0</v>
      </c>
      <c r="H52" s="12" t="s">
        <v>4</v>
      </c>
      <c r="I52" s="233"/>
      <c r="J52" s="228"/>
      <c r="K52" s="39" t="s">
        <v>8</v>
      </c>
      <c r="L52" s="40"/>
      <c r="M52" s="38" t="s">
        <v>9</v>
      </c>
      <c r="N52" s="41"/>
      <c r="O52" s="96"/>
      <c r="P52" s="1"/>
      <c r="Q52" s="1"/>
    </row>
    <row r="53" spans="1:17" ht="15.75" thickBot="1">
      <c r="A53" s="15" t="s">
        <v>10</v>
      </c>
      <c r="B53" s="16"/>
      <c r="C53" s="17">
        <f>C5*0.5</f>
        <v>11040</v>
      </c>
      <c r="D53" s="18" t="s">
        <v>4</v>
      </c>
      <c r="E53" s="50"/>
      <c r="F53" s="70"/>
      <c r="G53" s="13">
        <f>C53</f>
        <v>11040</v>
      </c>
      <c r="H53" s="12" t="s">
        <v>4</v>
      </c>
      <c r="I53" s="234"/>
      <c r="J53" s="236"/>
      <c r="K53" s="42">
        <f>IF(I51&gt;=$Q$3,$Q$3,I51)</f>
        <v>11040</v>
      </c>
      <c r="L53" s="43" t="s">
        <v>4</v>
      </c>
      <c r="M53" s="44">
        <f>ROUNDDOWN(K53/12,0)</f>
        <v>920</v>
      </c>
      <c r="N53" s="45" t="s">
        <v>4</v>
      </c>
      <c r="O53" s="95" t="str">
        <f>IF(I51&gt;$Q$3,"限度額超過","")</f>
        <v/>
      </c>
      <c r="P53" s="1"/>
      <c r="Q53" s="1"/>
    </row>
    <row r="54" spans="1:17" ht="15.75" thickBot="1">
      <c r="A54" s="3" t="s">
        <v>30</v>
      </c>
      <c r="B54" s="4"/>
      <c r="C54" s="5"/>
      <c r="D54" s="6"/>
      <c r="E54" s="61"/>
      <c r="F54" s="71"/>
      <c r="G54" s="62"/>
      <c r="H54" s="35"/>
      <c r="I54" s="92"/>
      <c r="J54" s="35"/>
      <c r="K54" s="35"/>
      <c r="L54" s="35"/>
      <c r="M54" s="35"/>
      <c r="N54" s="37"/>
      <c r="P54" s="1"/>
      <c r="Q54" s="1"/>
    </row>
    <row r="55" spans="1:17" ht="16.5" thickTop="1" thickBot="1">
      <c r="A55" s="7" t="s">
        <v>2</v>
      </c>
      <c r="B55" s="8"/>
      <c r="C55" s="9">
        <f>C33</f>
        <v>3.38</v>
      </c>
      <c r="D55" s="10" t="s">
        <v>3</v>
      </c>
      <c r="E55" s="68">
        <f>E51</f>
        <v>0</v>
      </c>
      <c r="F55" s="70" t="s">
        <v>4</v>
      </c>
      <c r="G55" s="13">
        <f>ROUNDDOWN((C55*E55)/100,0)</f>
        <v>0</v>
      </c>
      <c r="H55" s="12" t="s">
        <v>19</v>
      </c>
      <c r="I55" s="232">
        <f>G55+G56+G57</f>
        <v>4080</v>
      </c>
      <c r="J55" s="235" t="s">
        <v>4</v>
      </c>
      <c r="K55" s="229" t="s">
        <v>35</v>
      </c>
      <c r="L55" s="230"/>
      <c r="M55" s="230"/>
      <c r="N55" s="231"/>
      <c r="P55" s="1"/>
      <c r="Q55" s="2"/>
    </row>
    <row r="56" spans="1:17" ht="15.75" thickTop="1">
      <c r="A56" s="11" t="s">
        <v>6</v>
      </c>
      <c r="B56" s="12"/>
      <c r="C56" s="13">
        <f t="shared" ref="C56:C57" si="2">C8*0.5</f>
        <v>4920</v>
      </c>
      <c r="D56" s="14" t="s">
        <v>4</v>
      </c>
      <c r="E56" s="68">
        <f>E52</f>
        <v>0</v>
      </c>
      <c r="F56" s="70" t="s">
        <v>7</v>
      </c>
      <c r="G56" s="13">
        <f>ROUNDDOWN(C56*E56,0)</f>
        <v>0</v>
      </c>
      <c r="H56" s="12" t="s">
        <v>19</v>
      </c>
      <c r="I56" s="233"/>
      <c r="J56" s="228"/>
      <c r="K56" s="39" t="s">
        <v>8</v>
      </c>
      <c r="L56" s="40"/>
      <c r="M56" s="38" t="s">
        <v>9</v>
      </c>
      <c r="N56" s="41"/>
      <c r="P56" s="1"/>
      <c r="Q56" s="1"/>
    </row>
    <row r="57" spans="1:17" ht="15.75" thickBot="1">
      <c r="A57" s="15" t="s">
        <v>10</v>
      </c>
      <c r="B57" s="16"/>
      <c r="C57" s="17">
        <f t="shared" si="2"/>
        <v>4080</v>
      </c>
      <c r="D57" s="18" t="s">
        <v>4</v>
      </c>
      <c r="E57" s="50"/>
      <c r="F57" s="70"/>
      <c r="G57" s="13">
        <f>C57</f>
        <v>4080</v>
      </c>
      <c r="H57" s="12" t="s">
        <v>19</v>
      </c>
      <c r="I57" s="234"/>
      <c r="J57" s="236"/>
      <c r="K57" s="42">
        <f>IF(I55&gt;=$Q$4,$Q$4,I55)</f>
        <v>4080</v>
      </c>
      <c r="L57" s="43" t="s">
        <v>4</v>
      </c>
      <c r="M57" s="44">
        <f>ROUNDDOWN(K57/12,0)</f>
        <v>340</v>
      </c>
      <c r="N57" s="45" t="s">
        <v>4</v>
      </c>
      <c r="O57" s="95" t="str">
        <f>IF(I55&gt;$Q$4,"限度額超過","")</f>
        <v/>
      </c>
      <c r="P57" s="1"/>
      <c r="Q57" s="1"/>
    </row>
    <row r="58" spans="1:17" ht="15.75" thickBot="1">
      <c r="A58" s="20" t="s">
        <v>13</v>
      </c>
      <c r="B58" s="21"/>
      <c r="C58" s="22"/>
      <c r="D58" s="23"/>
      <c r="E58" s="50"/>
      <c r="F58" s="71"/>
      <c r="G58" s="62"/>
      <c r="H58" s="35"/>
      <c r="I58" s="92"/>
      <c r="J58" s="35"/>
      <c r="K58" s="35"/>
      <c r="L58" s="35"/>
      <c r="M58" s="35"/>
      <c r="N58" s="37"/>
      <c r="P58" s="1"/>
      <c r="Q58" s="1"/>
    </row>
    <row r="59" spans="1:17" ht="16.5" thickTop="1" thickBot="1">
      <c r="A59" s="24" t="s">
        <v>2</v>
      </c>
      <c r="B59" s="25"/>
      <c r="C59" s="26">
        <f>C11</f>
        <v>3.3</v>
      </c>
      <c r="D59" s="27" t="s">
        <v>3</v>
      </c>
      <c r="E59" s="90"/>
      <c r="F59" s="70" t="s">
        <v>4</v>
      </c>
      <c r="G59" s="13">
        <f>ROUNDDOWN((C59*E59)/100,0)</f>
        <v>0</v>
      </c>
      <c r="H59" s="12" t="s">
        <v>19</v>
      </c>
      <c r="I59" s="232">
        <f>G59+G60+G61</f>
        <v>3360</v>
      </c>
      <c r="J59" s="235" t="s">
        <v>4</v>
      </c>
      <c r="K59" s="229" t="s">
        <v>14</v>
      </c>
      <c r="L59" s="230"/>
      <c r="M59" s="230"/>
      <c r="N59" s="231"/>
      <c r="P59" s="1"/>
      <c r="Q59" s="1"/>
    </row>
    <row r="60" spans="1:17" ht="15.75" thickTop="1">
      <c r="A60" s="11" t="s">
        <v>6</v>
      </c>
      <c r="B60" s="12"/>
      <c r="C60" s="13">
        <f t="shared" ref="C60:C61" si="3">C12*0.5</f>
        <v>5760</v>
      </c>
      <c r="D60" s="14" t="s">
        <v>4</v>
      </c>
      <c r="E60" s="67"/>
      <c r="F60" s="70" t="s">
        <v>7</v>
      </c>
      <c r="G60" s="13">
        <f>ROUNDDOWN(C60*E60,0)</f>
        <v>0</v>
      </c>
      <c r="H60" s="12" t="s">
        <v>19</v>
      </c>
      <c r="I60" s="233"/>
      <c r="J60" s="228"/>
      <c r="K60" s="39" t="s">
        <v>8</v>
      </c>
      <c r="L60" s="40"/>
      <c r="M60" s="38" t="s">
        <v>9</v>
      </c>
      <c r="N60" s="41"/>
      <c r="P60" s="1"/>
      <c r="Q60" s="1"/>
    </row>
    <row r="61" spans="1:17" ht="15.75" thickBot="1">
      <c r="A61" s="28" t="s">
        <v>10</v>
      </c>
      <c r="B61" s="29"/>
      <c r="C61" s="30">
        <f t="shared" si="3"/>
        <v>3360</v>
      </c>
      <c r="D61" s="31" t="s">
        <v>4</v>
      </c>
      <c r="E61" s="63"/>
      <c r="F61" s="72"/>
      <c r="G61" s="30">
        <f>C61</f>
        <v>3360</v>
      </c>
      <c r="H61" s="29" t="s">
        <v>19</v>
      </c>
      <c r="I61" s="237"/>
      <c r="J61" s="238"/>
      <c r="K61" s="42">
        <f>IF(I59&gt;=$Q$5,$Q$5,I59)</f>
        <v>3360</v>
      </c>
      <c r="L61" s="43" t="s">
        <v>4</v>
      </c>
      <c r="M61" s="44">
        <f>ROUNDDOWN(K61/12,0)</f>
        <v>280</v>
      </c>
      <c r="N61" s="45" t="s">
        <v>4</v>
      </c>
      <c r="O61" s="95" t="str">
        <f>IF(I59&gt;$Q$5,"限度額超過","")</f>
        <v/>
      </c>
      <c r="P61" s="1"/>
      <c r="Q61" s="1"/>
    </row>
    <row r="62" spans="1:17" ht="15.75" thickBot="1">
      <c r="A62" s="1"/>
      <c r="B62" s="1"/>
      <c r="C62" s="1"/>
      <c r="D62" s="1"/>
      <c r="E62" s="1"/>
      <c r="F62" s="1"/>
      <c r="G62" s="1"/>
      <c r="H62" s="1"/>
      <c r="I62" s="91"/>
      <c r="J62" s="1"/>
      <c r="K62" s="226" t="s">
        <v>15</v>
      </c>
      <c r="L62" s="227"/>
      <c r="M62" s="227"/>
      <c r="N62" s="228"/>
      <c r="O62" s="96"/>
      <c r="P62" s="1"/>
      <c r="Q62" s="1"/>
    </row>
    <row r="63" spans="1:17" ht="15.75" thickTop="1">
      <c r="A63" s="1"/>
      <c r="B63" s="1"/>
      <c r="C63" s="1"/>
      <c r="D63" s="1"/>
      <c r="E63" s="1"/>
      <c r="F63" s="1"/>
      <c r="G63" s="1" t="s">
        <v>37</v>
      </c>
      <c r="H63" s="1"/>
      <c r="I63" s="91"/>
      <c r="J63" s="1"/>
      <c r="K63" s="39" t="s">
        <v>8</v>
      </c>
      <c r="L63" s="40"/>
      <c r="M63" s="38" t="s">
        <v>9</v>
      </c>
      <c r="N63" s="41"/>
      <c r="O63" s="96"/>
      <c r="P63" s="1"/>
      <c r="Q63" s="1"/>
    </row>
    <row r="64" spans="1:17" ht="15.75" thickBot="1">
      <c r="A64" s="1"/>
      <c r="B64" s="1"/>
      <c r="C64" s="1"/>
      <c r="D64" s="1"/>
      <c r="E64" s="1"/>
      <c r="F64" s="1"/>
      <c r="G64" s="1" t="s">
        <v>38</v>
      </c>
      <c r="H64" s="1"/>
      <c r="I64" s="91"/>
      <c r="J64" s="1"/>
      <c r="K64" s="51">
        <f>K53+K57</f>
        <v>15120</v>
      </c>
      <c r="L64" s="52" t="s">
        <v>4</v>
      </c>
      <c r="M64" s="53">
        <f>ROUNDDOWN(K64/12,0)</f>
        <v>1260</v>
      </c>
      <c r="N64" s="54" t="s">
        <v>4</v>
      </c>
      <c r="O64" s="94" t="s">
        <v>39</v>
      </c>
      <c r="P64" s="1"/>
      <c r="Q64" s="1"/>
    </row>
    <row r="65" spans="1:17" ht="15.75" thickBot="1">
      <c r="A65" s="1"/>
      <c r="B65" s="1"/>
      <c r="C65" s="1"/>
      <c r="D65" s="1"/>
      <c r="E65" s="1"/>
      <c r="F65" s="1"/>
      <c r="G65" s="1" t="s">
        <v>29</v>
      </c>
      <c r="H65" s="1"/>
      <c r="I65" s="91"/>
      <c r="J65" s="1"/>
      <c r="K65" s="229" t="s">
        <v>36</v>
      </c>
      <c r="L65" s="230"/>
      <c r="M65" s="230"/>
      <c r="N65" s="231"/>
    </row>
    <row r="66" spans="1:17" ht="15.75" thickTop="1">
      <c r="A66" s="1"/>
      <c r="B66" s="1"/>
      <c r="C66" s="1"/>
      <c r="D66" s="1"/>
      <c r="E66" s="1"/>
      <c r="F66" s="1"/>
      <c r="G66" s="1"/>
      <c r="H66" s="1"/>
      <c r="I66" s="91"/>
      <c r="J66" s="1"/>
      <c r="K66" s="39" t="s">
        <v>8</v>
      </c>
      <c r="L66" s="40"/>
      <c r="M66" s="38" t="s">
        <v>9</v>
      </c>
      <c r="N66" s="41"/>
    </row>
    <row r="67" spans="1:17" ht="15.75" thickBot="1">
      <c r="A67" s="1"/>
      <c r="B67" s="1"/>
      <c r="C67" s="1"/>
      <c r="D67" s="1"/>
      <c r="E67" s="1"/>
      <c r="F67" s="1"/>
      <c r="G67" s="1"/>
      <c r="H67" s="1"/>
      <c r="I67" s="91"/>
      <c r="J67" s="1"/>
      <c r="K67" s="46">
        <f>K64+K61</f>
        <v>18480</v>
      </c>
      <c r="L67" s="47" t="s">
        <v>4</v>
      </c>
      <c r="M67" s="48">
        <f>ROUNDDOWN(K67/12,0)</f>
        <v>1540</v>
      </c>
      <c r="N67" s="49" t="s">
        <v>4</v>
      </c>
      <c r="O67" s="94" t="s">
        <v>40</v>
      </c>
    </row>
    <row r="71" spans="1:17" ht="15.75" thickBot="1">
      <c r="A71" s="32" t="s">
        <v>18</v>
      </c>
      <c r="B71" s="1"/>
      <c r="C71" s="1"/>
      <c r="D71" s="1"/>
      <c r="E71" s="1"/>
      <c r="F71" s="1"/>
      <c r="G71" s="1"/>
      <c r="H71" s="1"/>
      <c r="I71" s="91"/>
      <c r="J71" s="1"/>
      <c r="K71" s="1"/>
      <c r="L71" s="1"/>
      <c r="M71" s="1"/>
      <c r="N71" s="1"/>
      <c r="O71" s="96"/>
      <c r="P71" s="1"/>
      <c r="Q71" s="1"/>
    </row>
    <row r="72" spans="1:17" ht="15.75" thickBot="1">
      <c r="A72" s="3" t="s">
        <v>1</v>
      </c>
      <c r="B72" s="4"/>
      <c r="C72" s="5"/>
      <c r="D72" s="6"/>
      <c r="E72" s="1"/>
      <c r="F72" s="1"/>
      <c r="G72" s="1"/>
      <c r="H72" s="1"/>
      <c r="I72" s="91"/>
      <c r="J72" s="1"/>
      <c r="K72" s="55"/>
      <c r="L72" s="1"/>
      <c r="M72" s="1"/>
      <c r="N72" s="1"/>
      <c r="O72" s="96"/>
      <c r="P72" s="1"/>
      <c r="Q72" s="1"/>
    </row>
    <row r="73" spans="1:17" ht="16.5" thickTop="1" thickBot="1">
      <c r="A73" s="7" t="s">
        <v>2</v>
      </c>
      <c r="B73" s="8"/>
      <c r="C73" s="9">
        <f>C3</f>
        <v>9.09</v>
      </c>
      <c r="D73" s="10" t="s">
        <v>3</v>
      </c>
      <c r="E73" s="66"/>
      <c r="F73" s="69" t="s">
        <v>4</v>
      </c>
      <c r="G73" s="60">
        <f>ROUNDDOWN((C73*E73)/100,0)</f>
        <v>0</v>
      </c>
      <c r="H73" s="59" t="s">
        <v>4</v>
      </c>
      <c r="I73" s="239">
        <f>G73+G74+G75</f>
        <v>6624</v>
      </c>
      <c r="J73" s="231" t="s">
        <v>4</v>
      </c>
      <c r="K73" s="229" t="s">
        <v>5</v>
      </c>
      <c r="L73" s="230"/>
      <c r="M73" s="230"/>
      <c r="N73" s="231"/>
      <c r="O73" s="96"/>
      <c r="P73" s="1"/>
      <c r="Q73" s="1"/>
    </row>
    <row r="74" spans="1:17" ht="15.75" thickTop="1">
      <c r="A74" s="11" t="s">
        <v>6</v>
      </c>
      <c r="B74" s="12"/>
      <c r="C74" s="13">
        <f>C4*0.3</f>
        <v>7992</v>
      </c>
      <c r="D74" s="14" t="s">
        <v>4</v>
      </c>
      <c r="E74" s="67"/>
      <c r="F74" s="70" t="s">
        <v>7</v>
      </c>
      <c r="G74" s="13">
        <f>ROUNDDOWN(C74*E74,0)</f>
        <v>0</v>
      </c>
      <c r="H74" s="12" t="s">
        <v>4</v>
      </c>
      <c r="I74" s="233"/>
      <c r="J74" s="228"/>
      <c r="K74" s="39" t="s">
        <v>8</v>
      </c>
      <c r="L74" s="40"/>
      <c r="M74" s="38" t="s">
        <v>9</v>
      </c>
      <c r="N74" s="41"/>
      <c r="O74" s="96"/>
      <c r="P74" s="1"/>
      <c r="Q74" s="1"/>
    </row>
    <row r="75" spans="1:17" ht="15.75" thickBot="1">
      <c r="A75" s="15" t="s">
        <v>10</v>
      </c>
      <c r="B75" s="16"/>
      <c r="C75" s="17">
        <f>C5*0.3</f>
        <v>6624</v>
      </c>
      <c r="D75" s="18" t="s">
        <v>4</v>
      </c>
      <c r="E75" s="50"/>
      <c r="F75" s="70"/>
      <c r="G75" s="13">
        <f>C75</f>
        <v>6624</v>
      </c>
      <c r="H75" s="12" t="s">
        <v>4</v>
      </c>
      <c r="I75" s="234"/>
      <c r="J75" s="236"/>
      <c r="K75" s="42">
        <f>IF(I73&gt;=$Q$3,$Q$3,I73)</f>
        <v>6624</v>
      </c>
      <c r="L75" s="43" t="s">
        <v>4</v>
      </c>
      <c r="M75" s="44">
        <f>ROUNDDOWN(K75/12,0)</f>
        <v>552</v>
      </c>
      <c r="N75" s="45" t="s">
        <v>4</v>
      </c>
      <c r="O75" s="95" t="str">
        <f>IF(I73&gt;$Q$3,"限度額超過","")</f>
        <v/>
      </c>
      <c r="P75" s="1"/>
      <c r="Q75" s="1"/>
    </row>
    <row r="76" spans="1:17" ht="15.75" thickBot="1">
      <c r="A76" s="3" t="s">
        <v>30</v>
      </c>
      <c r="B76" s="4"/>
      <c r="C76" s="5"/>
      <c r="D76" s="6"/>
      <c r="E76" s="61"/>
      <c r="F76" s="71"/>
      <c r="G76" s="62"/>
      <c r="H76" s="35"/>
      <c r="I76" s="92"/>
      <c r="J76" s="35"/>
      <c r="K76" s="35"/>
      <c r="L76" s="35"/>
      <c r="M76" s="35"/>
      <c r="N76" s="37"/>
      <c r="P76" s="1"/>
      <c r="Q76" s="1"/>
    </row>
    <row r="77" spans="1:17" ht="16.5" thickTop="1" thickBot="1">
      <c r="A77" s="7" t="s">
        <v>2</v>
      </c>
      <c r="B77" s="8"/>
      <c r="C77" s="9">
        <f>C7</f>
        <v>3.38</v>
      </c>
      <c r="D77" s="10" t="s">
        <v>3</v>
      </c>
      <c r="E77" s="68">
        <f>E73</f>
        <v>0</v>
      </c>
      <c r="F77" s="70" t="s">
        <v>4</v>
      </c>
      <c r="G77" s="13">
        <f>ROUNDDOWN((C77*E77)/100,0)</f>
        <v>0</v>
      </c>
      <c r="H77" s="12" t="s">
        <v>19</v>
      </c>
      <c r="I77" s="232">
        <f>G77+G78+G79</f>
        <v>2448</v>
      </c>
      <c r="J77" s="235" t="s">
        <v>4</v>
      </c>
      <c r="K77" s="229" t="s">
        <v>35</v>
      </c>
      <c r="L77" s="230"/>
      <c r="M77" s="230"/>
      <c r="N77" s="231"/>
      <c r="P77" s="1"/>
      <c r="Q77" s="2"/>
    </row>
    <row r="78" spans="1:17" ht="15.75" thickTop="1">
      <c r="A78" s="11" t="s">
        <v>6</v>
      </c>
      <c r="B78" s="12"/>
      <c r="C78" s="13">
        <f>C8*0.3</f>
        <v>2952</v>
      </c>
      <c r="D78" s="14" t="s">
        <v>4</v>
      </c>
      <c r="E78" s="68">
        <f>E74</f>
        <v>0</v>
      </c>
      <c r="F78" s="70" t="s">
        <v>7</v>
      </c>
      <c r="G78" s="13">
        <f>ROUNDDOWN(C78*E78,0)</f>
        <v>0</v>
      </c>
      <c r="H78" s="12" t="s">
        <v>19</v>
      </c>
      <c r="I78" s="233"/>
      <c r="J78" s="228"/>
      <c r="K78" s="39" t="s">
        <v>8</v>
      </c>
      <c r="L78" s="40"/>
      <c r="M78" s="38" t="s">
        <v>9</v>
      </c>
      <c r="N78" s="41"/>
      <c r="P78" s="1"/>
      <c r="Q78" s="1"/>
    </row>
    <row r="79" spans="1:17" ht="15.75" thickBot="1">
      <c r="A79" s="15" t="s">
        <v>10</v>
      </c>
      <c r="B79" s="16"/>
      <c r="C79" s="17">
        <f>C9*0.3</f>
        <v>2448</v>
      </c>
      <c r="D79" s="18" t="s">
        <v>4</v>
      </c>
      <c r="E79" s="50"/>
      <c r="F79" s="70"/>
      <c r="G79" s="13">
        <f>C79</f>
        <v>2448</v>
      </c>
      <c r="H79" s="12" t="s">
        <v>19</v>
      </c>
      <c r="I79" s="234"/>
      <c r="J79" s="236"/>
      <c r="K79" s="42">
        <f>IF(I77&gt;=$Q$4,$Q$4,I77)</f>
        <v>2448</v>
      </c>
      <c r="L79" s="43" t="s">
        <v>4</v>
      </c>
      <c r="M79" s="44">
        <f>ROUNDDOWN(K79/12,0)</f>
        <v>204</v>
      </c>
      <c r="N79" s="45" t="s">
        <v>4</v>
      </c>
      <c r="O79" s="95" t="str">
        <f>IF(I77&gt;$Q$4,"限度額超過","")</f>
        <v/>
      </c>
      <c r="P79" s="1"/>
      <c r="Q79" s="1"/>
    </row>
    <row r="80" spans="1:17" ht="15.75" thickBot="1">
      <c r="A80" s="20" t="s">
        <v>13</v>
      </c>
      <c r="B80" s="21"/>
      <c r="C80" s="22"/>
      <c r="D80" s="23"/>
      <c r="E80" s="50"/>
      <c r="F80" s="71"/>
      <c r="G80" s="62"/>
      <c r="H80" s="35"/>
      <c r="I80" s="92"/>
      <c r="J80" s="35"/>
      <c r="K80" s="35"/>
      <c r="L80" s="35"/>
      <c r="M80" s="35"/>
      <c r="N80" s="37"/>
      <c r="P80" s="1"/>
      <c r="Q80" s="1"/>
    </row>
    <row r="81" spans="1:17" ht="16.5" thickTop="1" thickBot="1">
      <c r="A81" s="24" t="s">
        <v>2</v>
      </c>
      <c r="B81" s="25"/>
      <c r="C81" s="26">
        <f>C11</f>
        <v>3.3</v>
      </c>
      <c r="D81" s="27" t="s">
        <v>3</v>
      </c>
      <c r="E81" s="90"/>
      <c r="F81" s="70" t="s">
        <v>4</v>
      </c>
      <c r="G81" s="13">
        <f>ROUNDDOWN((C81*E81)/100,0)</f>
        <v>0</v>
      </c>
      <c r="H81" s="12" t="s">
        <v>19</v>
      </c>
      <c r="I81" s="232">
        <f>G81+G82+G83</f>
        <v>2016</v>
      </c>
      <c r="J81" s="235" t="s">
        <v>4</v>
      </c>
      <c r="K81" s="229" t="s">
        <v>14</v>
      </c>
      <c r="L81" s="230"/>
      <c r="M81" s="230"/>
      <c r="N81" s="231"/>
      <c r="P81" s="1"/>
      <c r="Q81" s="1"/>
    </row>
    <row r="82" spans="1:17" ht="15.75" thickTop="1">
      <c r="A82" s="11" t="s">
        <v>6</v>
      </c>
      <c r="B82" s="12"/>
      <c r="C82" s="13">
        <f>C12*0.3</f>
        <v>3456</v>
      </c>
      <c r="D82" s="14" t="s">
        <v>4</v>
      </c>
      <c r="E82" s="67"/>
      <c r="F82" s="70" t="s">
        <v>7</v>
      </c>
      <c r="G82" s="13">
        <f>ROUNDDOWN(C82*E82,0)</f>
        <v>0</v>
      </c>
      <c r="H82" s="12" t="s">
        <v>19</v>
      </c>
      <c r="I82" s="233"/>
      <c r="J82" s="228"/>
      <c r="K82" s="39" t="s">
        <v>8</v>
      </c>
      <c r="L82" s="40"/>
      <c r="M82" s="38" t="s">
        <v>9</v>
      </c>
      <c r="N82" s="41"/>
      <c r="P82" s="1"/>
      <c r="Q82" s="1"/>
    </row>
    <row r="83" spans="1:17" ht="15.75" thickBot="1">
      <c r="A83" s="28" t="s">
        <v>10</v>
      </c>
      <c r="B83" s="29"/>
      <c r="C83" s="30">
        <f>C13*0.3</f>
        <v>2016</v>
      </c>
      <c r="D83" s="31" t="s">
        <v>4</v>
      </c>
      <c r="E83" s="63"/>
      <c r="F83" s="72"/>
      <c r="G83" s="30">
        <f>C83</f>
        <v>2016</v>
      </c>
      <c r="H83" s="29" t="s">
        <v>19</v>
      </c>
      <c r="I83" s="237"/>
      <c r="J83" s="238"/>
      <c r="K83" s="42">
        <f>IF(I81&gt;=$Q$5,$Q$5,I81)</f>
        <v>2016</v>
      </c>
      <c r="L83" s="43" t="s">
        <v>4</v>
      </c>
      <c r="M83" s="44">
        <f>ROUNDDOWN(K83/12,0)</f>
        <v>168</v>
      </c>
      <c r="N83" s="45" t="s">
        <v>4</v>
      </c>
      <c r="O83" s="95" t="str">
        <f>IF(I81&gt;$Q$5,"限度額超過","")</f>
        <v/>
      </c>
      <c r="P83" s="1"/>
      <c r="Q83" s="1"/>
    </row>
    <row r="84" spans="1:17" ht="15.75" thickBot="1">
      <c r="A84" s="1"/>
      <c r="B84" s="1"/>
      <c r="C84" s="1"/>
      <c r="D84" s="1"/>
      <c r="E84" s="1"/>
      <c r="F84" s="1"/>
      <c r="G84" s="1"/>
      <c r="H84" s="1"/>
      <c r="I84" s="91"/>
      <c r="J84" s="1"/>
      <c r="K84" s="226" t="s">
        <v>15</v>
      </c>
      <c r="L84" s="227"/>
      <c r="M84" s="227"/>
      <c r="N84" s="228"/>
      <c r="O84" s="96"/>
      <c r="P84" s="1"/>
      <c r="Q84" s="1"/>
    </row>
    <row r="85" spans="1:17" ht="15.75" thickTop="1">
      <c r="A85" s="1"/>
      <c r="B85" s="1"/>
      <c r="C85" s="1"/>
      <c r="D85" s="1"/>
      <c r="E85" s="1"/>
      <c r="F85" s="1"/>
      <c r="G85" s="1" t="s">
        <v>37</v>
      </c>
      <c r="H85" s="1"/>
      <c r="I85" s="91"/>
      <c r="J85" s="1"/>
      <c r="K85" s="39" t="s">
        <v>8</v>
      </c>
      <c r="L85" s="40"/>
      <c r="M85" s="38" t="s">
        <v>9</v>
      </c>
      <c r="N85" s="41"/>
      <c r="O85" s="96"/>
      <c r="P85" s="1"/>
      <c r="Q85" s="1"/>
    </row>
    <row r="86" spans="1:17" ht="15.75" thickBot="1">
      <c r="A86" s="1"/>
      <c r="B86" s="1"/>
      <c r="C86" s="1"/>
      <c r="D86" s="1"/>
      <c r="E86" s="1"/>
      <c r="F86" s="1"/>
      <c r="G86" s="1" t="s">
        <v>38</v>
      </c>
      <c r="H86" s="1"/>
      <c r="I86" s="91"/>
      <c r="J86" s="1"/>
      <c r="K86" s="51">
        <f>K75+K79</f>
        <v>9072</v>
      </c>
      <c r="L86" s="52" t="s">
        <v>4</v>
      </c>
      <c r="M86" s="53">
        <f>ROUNDDOWN(K86/12,0)</f>
        <v>756</v>
      </c>
      <c r="N86" s="54" t="s">
        <v>4</v>
      </c>
      <c r="O86" s="94" t="s">
        <v>39</v>
      </c>
      <c r="P86" s="1"/>
      <c r="Q86" s="1"/>
    </row>
    <row r="87" spans="1:17" ht="15.75" thickBot="1">
      <c r="A87" s="1"/>
      <c r="B87" s="1"/>
      <c r="C87" s="1"/>
      <c r="D87" s="1"/>
      <c r="E87" s="1"/>
      <c r="F87" s="1"/>
      <c r="G87" s="1" t="s">
        <v>29</v>
      </c>
      <c r="H87" s="1"/>
      <c r="I87" s="91"/>
      <c r="J87" s="1"/>
      <c r="K87" s="229" t="s">
        <v>36</v>
      </c>
      <c r="L87" s="230"/>
      <c r="M87" s="230"/>
      <c r="N87" s="231"/>
    </row>
    <row r="88" spans="1:17" ht="15.75" thickTop="1">
      <c r="A88" s="1"/>
      <c r="B88" s="1"/>
      <c r="C88" s="1"/>
      <c r="D88" s="1"/>
      <c r="E88" s="1"/>
      <c r="F88" s="1"/>
      <c r="G88" s="1"/>
      <c r="H88" s="1"/>
      <c r="I88" s="91"/>
      <c r="J88" s="1"/>
      <c r="K88" s="39" t="s">
        <v>8</v>
      </c>
      <c r="L88" s="40"/>
      <c r="M88" s="38" t="s">
        <v>9</v>
      </c>
      <c r="N88" s="41"/>
    </row>
    <row r="89" spans="1:17" ht="15.75" thickBot="1">
      <c r="A89" s="1"/>
      <c r="B89" s="1"/>
      <c r="C89" s="1"/>
      <c r="D89" s="1"/>
      <c r="E89" s="1"/>
      <c r="F89" s="1"/>
      <c r="G89" s="1"/>
      <c r="H89" s="1"/>
      <c r="I89" s="91"/>
      <c r="J89" s="1"/>
      <c r="K89" s="46">
        <f>K86+K83</f>
        <v>11088</v>
      </c>
      <c r="L89" s="47" t="s">
        <v>4</v>
      </c>
      <c r="M89" s="48">
        <f>ROUNDDOWN(K89/12,0)</f>
        <v>924</v>
      </c>
      <c r="N89" s="49" t="s">
        <v>4</v>
      </c>
      <c r="O89" s="94" t="s">
        <v>40</v>
      </c>
    </row>
  </sheetData>
  <sheetProtection sheet="1" objects="1" scenarios="1" selectLockedCells="1"/>
  <protectedRanges>
    <protectedRange sqref="E59:E60 E81:E82" name="範囲6"/>
    <protectedRange sqref="E51:E52 E73:E74" name="範囲5"/>
    <protectedRange sqref="E37:E38" name="範囲4"/>
    <protectedRange sqref="E29:E30" name="範囲3"/>
    <protectedRange sqref="E11:E12" name="範囲2"/>
    <protectedRange sqref="E3:E4" name="範囲1"/>
  </protectedRanges>
  <mergeCells count="44">
    <mergeCell ref="I29:I31"/>
    <mergeCell ref="J29:J31"/>
    <mergeCell ref="K29:N29"/>
    <mergeCell ref="I3:I5"/>
    <mergeCell ref="J3:J5"/>
    <mergeCell ref="K3:N3"/>
    <mergeCell ref="I7:I9"/>
    <mergeCell ref="J7:J9"/>
    <mergeCell ref="K7:N7"/>
    <mergeCell ref="I11:I13"/>
    <mergeCell ref="J11:J13"/>
    <mergeCell ref="K11:N11"/>
    <mergeCell ref="K14:N14"/>
    <mergeCell ref="K17:N17"/>
    <mergeCell ref="I33:I35"/>
    <mergeCell ref="J33:J35"/>
    <mergeCell ref="K33:N33"/>
    <mergeCell ref="I37:I39"/>
    <mergeCell ref="J37:J39"/>
    <mergeCell ref="K37:N37"/>
    <mergeCell ref="I73:I75"/>
    <mergeCell ref="J73:J75"/>
    <mergeCell ref="K73:N73"/>
    <mergeCell ref="K40:N40"/>
    <mergeCell ref="K43:N43"/>
    <mergeCell ref="I51:I53"/>
    <mergeCell ref="J51:J53"/>
    <mergeCell ref="K51:N51"/>
    <mergeCell ref="I55:I57"/>
    <mergeCell ref="J55:J57"/>
    <mergeCell ref="K55:N55"/>
    <mergeCell ref="I59:I61"/>
    <mergeCell ref="J59:J61"/>
    <mergeCell ref="K59:N59"/>
    <mergeCell ref="K62:N62"/>
    <mergeCell ref="K65:N65"/>
    <mergeCell ref="K84:N84"/>
    <mergeCell ref="K87:N87"/>
    <mergeCell ref="I77:I79"/>
    <mergeCell ref="J77:J79"/>
    <mergeCell ref="K77:N77"/>
    <mergeCell ref="I81:I83"/>
    <mergeCell ref="J81:J83"/>
    <mergeCell ref="K81:N81"/>
  </mergeCells>
  <phoneticPr fontId="1"/>
  <pageMargins left="0.70866141732283472" right="0.70866141732283472" top="0.74803149606299213" bottom="0.74803149606299213" header="0.31496062992125984" footer="0.31496062992125984"/>
  <pageSetup paperSize="9" scale="58" orientation="portrait" verticalDpi="0"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T89"/>
  <sheetViews>
    <sheetView zoomScaleNormal="100" workbookViewId="0">
      <selection activeCell="E51" sqref="E51"/>
    </sheetView>
  </sheetViews>
  <sheetFormatPr defaultRowHeight="13.5"/>
  <cols>
    <col min="2" max="2" width="4" customWidth="1"/>
    <col min="4" max="4" width="4" bestFit="1" customWidth="1"/>
    <col min="5" max="5" width="15.875" customWidth="1"/>
    <col min="6" max="6" width="4" bestFit="1" customWidth="1"/>
    <col min="7" max="7" width="15.375" customWidth="1"/>
    <col min="8" max="8" width="4" bestFit="1" customWidth="1"/>
    <col min="9" max="9" width="12" style="93" bestFit="1" customWidth="1"/>
    <col min="10" max="10" width="4" bestFit="1" customWidth="1"/>
    <col min="11" max="11" width="10.5" bestFit="1" customWidth="1"/>
    <col min="12" max="12" width="4" bestFit="1" customWidth="1"/>
    <col min="14" max="14" width="4" bestFit="1" customWidth="1"/>
    <col min="15" max="15" width="9" style="94"/>
    <col min="17" max="20" width="9" hidden="1" customWidth="1"/>
  </cols>
  <sheetData>
    <row r="1" spans="1:20" ht="15.75" thickBot="1">
      <c r="A1" s="32" t="s">
        <v>31</v>
      </c>
      <c r="B1" s="1"/>
      <c r="C1" s="1"/>
      <c r="D1" s="1"/>
      <c r="E1" s="1"/>
      <c r="F1" s="1"/>
      <c r="G1" s="1"/>
      <c r="H1" s="1"/>
      <c r="I1" s="91"/>
      <c r="J1" s="1"/>
      <c r="K1" s="1"/>
      <c r="L1" s="1"/>
      <c r="M1" s="1"/>
      <c r="N1" s="1"/>
    </row>
    <row r="2" spans="1:20" ht="15.75" thickBot="1">
      <c r="A2" s="3" t="s">
        <v>1</v>
      </c>
      <c r="B2" s="4"/>
      <c r="C2" s="5"/>
      <c r="D2" s="6"/>
      <c r="E2" s="1"/>
      <c r="F2" s="1"/>
      <c r="G2" s="1"/>
      <c r="H2" s="1"/>
      <c r="I2" s="91"/>
      <c r="J2" s="1"/>
      <c r="K2" s="55"/>
      <c r="L2" s="1"/>
      <c r="M2" s="1"/>
      <c r="N2" s="1"/>
    </row>
    <row r="3" spans="1:20" ht="16.5" thickTop="1" thickBot="1">
      <c r="A3" s="7" t="s">
        <v>2</v>
      </c>
      <c r="B3" s="8"/>
      <c r="C3" s="9">
        <v>8.89</v>
      </c>
      <c r="D3" s="10" t="s">
        <v>3</v>
      </c>
      <c r="E3" s="66">
        <v>820000</v>
      </c>
      <c r="F3" s="69" t="s">
        <v>4</v>
      </c>
      <c r="G3" s="60">
        <f>ROUNDDOWN((C3*E3)/100,0)</f>
        <v>72898</v>
      </c>
      <c r="H3" s="59" t="s">
        <v>4</v>
      </c>
      <c r="I3" s="239">
        <f>G3+G4+G5</f>
        <v>122098</v>
      </c>
      <c r="J3" s="231" t="s">
        <v>4</v>
      </c>
      <c r="K3" s="229" t="s">
        <v>5</v>
      </c>
      <c r="L3" s="230"/>
      <c r="M3" s="230"/>
      <c r="N3" s="231"/>
      <c r="Q3">
        <v>540000</v>
      </c>
    </row>
    <row r="4" spans="1:20" ht="15.75" thickTop="1">
      <c r="A4" s="11" t="s">
        <v>6</v>
      </c>
      <c r="B4" s="12"/>
      <c r="C4" s="13">
        <v>26640</v>
      </c>
      <c r="D4" s="14" t="s">
        <v>4</v>
      </c>
      <c r="E4" s="67">
        <v>1</v>
      </c>
      <c r="F4" s="70" t="s">
        <v>7</v>
      </c>
      <c r="G4" s="13">
        <f>ROUNDDOWN(C4*E4,0)</f>
        <v>26640</v>
      </c>
      <c r="H4" s="12" t="s">
        <v>4</v>
      </c>
      <c r="I4" s="233"/>
      <c r="J4" s="228"/>
      <c r="K4" s="39" t="s">
        <v>8</v>
      </c>
      <c r="L4" s="40"/>
      <c r="M4" s="38" t="s">
        <v>9</v>
      </c>
      <c r="N4" s="41"/>
      <c r="Q4">
        <v>190000</v>
      </c>
    </row>
    <row r="5" spans="1:20" ht="15.75" thickBot="1">
      <c r="A5" s="15" t="s">
        <v>10</v>
      </c>
      <c r="B5" s="16"/>
      <c r="C5" s="13">
        <v>22560</v>
      </c>
      <c r="D5" s="18" t="s">
        <v>4</v>
      </c>
      <c r="E5" s="50"/>
      <c r="F5" s="70"/>
      <c r="G5" s="13">
        <f>C5</f>
        <v>22560</v>
      </c>
      <c r="H5" s="12" t="s">
        <v>4</v>
      </c>
      <c r="I5" s="234"/>
      <c r="J5" s="236"/>
      <c r="K5" s="42">
        <f>IF(I3&gt;=$Q$3,$Q$3,I3)</f>
        <v>122098</v>
      </c>
      <c r="L5" s="43" t="s">
        <v>4</v>
      </c>
      <c r="M5" s="44">
        <f>ROUNDDOWN(K5/12,0)</f>
        <v>10174</v>
      </c>
      <c r="N5" s="45" t="s">
        <v>4</v>
      </c>
      <c r="O5" s="95" t="str">
        <f>IF(I3&gt;$Q$3,"限度額超過","")</f>
        <v/>
      </c>
      <c r="Q5">
        <v>160000</v>
      </c>
    </row>
    <row r="6" spans="1:20" ht="15.75" thickBot="1">
      <c r="A6" s="3" t="s">
        <v>30</v>
      </c>
      <c r="B6" s="4"/>
      <c r="C6" s="5"/>
      <c r="D6" s="6"/>
      <c r="E6" s="61"/>
      <c r="F6" s="71"/>
      <c r="G6" s="62"/>
      <c r="H6" s="35"/>
      <c r="I6" s="92"/>
      <c r="J6" s="35"/>
      <c r="K6" s="35"/>
      <c r="L6" s="35"/>
      <c r="M6" s="35"/>
      <c r="N6" s="37"/>
    </row>
    <row r="7" spans="1:20" ht="16.5" thickTop="1" thickBot="1">
      <c r="A7" s="7" t="s">
        <v>2</v>
      </c>
      <c r="B7" s="8"/>
      <c r="C7" s="9">
        <v>3.43</v>
      </c>
      <c r="D7" s="10" t="s">
        <v>3</v>
      </c>
      <c r="E7" s="68">
        <f>E3</f>
        <v>820000</v>
      </c>
      <c r="F7" s="70" t="s">
        <v>4</v>
      </c>
      <c r="G7" s="13">
        <f>ROUNDDOWN((C7*E7)/100,0)</f>
        <v>28126</v>
      </c>
      <c r="H7" s="12" t="s">
        <v>19</v>
      </c>
      <c r="I7" s="232">
        <f>G7+G8+G9</f>
        <v>46846</v>
      </c>
      <c r="J7" s="235" t="s">
        <v>4</v>
      </c>
      <c r="K7" s="229" t="s">
        <v>35</v>
      </c>
      <c r="L7" s="230"/>
      <c r="M7" s="230"/>
      <c r="N7" s="231"/>
    </row>
    <row r="8" spans="1:20" ht="15.75" thickTop="1">
      <c r="A8" s="11" t="s">
        <v>6</v>
      </c>
      <c r="B8" s="12"/>
      <c r="C8" s="13">
        <v>10080</v>
      </c>
      <c r="D8" s="14" t="s">
        <v>4</v>
      </c>
      <c r="E8" s="68">
        <f>E4</f>
        <v>1</v>
      </c>
      <c r="F8" s="70" t="s">
        <v>7</v>
      </c>
      <c r="G8" s="13">
        <f>ROUNDDOWN(C8*E8,0)</f>
        <v>10080</v>
      </c>
      <c r="H8" s="12" t="s">
        <v>19</v>
      </c>
      <c r="I8" s="233"/>
      <c r="J8" s="228"/>
      <c r="K8" s="39" t="s">
        <v>8</v>
      </c>
      <c r="L8" s="40"/>
      <c r="M8" s="38" t="s">
        <v>9</v>
      </c>
      <c r="N8" s="41"/>
      <c r="Q8" t="s">
        <v>31</v>
      </c>
      <c r="R8" t="s">
        <v>32</v>
      </c>
      <c r="S8" t="s">
        <v>33</v>
      </c>
      <c r="T8" t="s">
        <v>34</v>
      </c>
    </row>
    <row r="9" spans="1:20" ht="15.75" thickBot="1">
      <c r="A9" s="15" t="s">
        <v>10</v>
      </c>
      <c r="B9" s="16"/>
      <c r="C9" s="13">
        <v>8640</v>
      </c>
      <c r="D9" s="18" t="s">
        <v>4</v>
      </c>
      <c r="E9" s="76"/>
      <c r="F9" s="70"/>
      <c r="G9" s="13">
        <f>C9</f>
        <v>8640</v>
      </c>
      <c r="H9" s="12" t="s">
        <v>19</v>
      </c>
      <c r="I9" s="234"/>
      <c r="J9" s="236"/>
      <c r="K9" s="42">
        <f>IF(I7&gt;=$Q$4,$Q$4,I7)</f>
        <v>46846</v>
      </c>
      <c r="L9" s="43" t="s">
        <v>4</v>
      </c>
      <c r="M9" s="44">
        <f>ROUNDDOWN(K9/12,0)</f>
        <v>3903</v>
      </c>
      <c r="N9" s="45" t="s">
        <v>4</v>
      </c>
      <c r="O9" s="95" t="str">
        <f>IF(I7&gt;$Q$4,"限度額超過","")</f>
        <v/>
      </c>
      <c r="Q9">
        <v>1</v>
      </c>
      <c r="R9">
        <v>0.7</v>
      </c>
      <c r="S9">
        <v>0.5</v>
      </c>
      <c r="T9">
        <v>0.2</v>
      </c>
    </row>
    <row r="10" spans="1:20" ht="15.75" thickBot="1">
      <c r="A10" s="20" t="s">
        <v>13</v>
      </c>
      <c r="B10" s="21"/>
      <c r="C10" s="22"/>
      <c r="D10" s="23"/>
      <c r="E10" s="50"/>
      <c r="F10" s="71"/>
      <c r="G10" s="62"/>
      <c r="H10" s="35"/>
      <c r="I10" s="92"/>
      <c r="J10" s="35"/>
      <c r="K10" s="35"/>
      <c r="L10" s="35"/>
      <c r="M10" s="35"/>
      <c r="N10" s="37"/>
      <c r="Q10">
        <v>25440</v>
      </c>
      <c r="R10">
        <f>ROUNDDOWN($Q10*(1-R$9),0)</f>
        <v>7632</v>
      </c>
      <c r="S10">
        <f t="shared" ref="R10:T15" si="0">ROUNDDOWN($Q10*(1-S$9),0)</f>
        <v>12720</v>
      </c>
      <c r="T10">
        <f t="shared" si="0"/>
        <v>20352</v>
      </c>
    </row>
    <row r="11" spans="1:20" ht="16.5" thickTop="1" thickBot="1">
      <c r="A11" s="24" t="s">
        <v>2</v>
      </c>
      <c r="B11" s="25"/>
      <c r="C11" s="26">
        <v>2.95</v>
      </c>
      <c r="D11" s="27" t="s">
        <v>3</v>
      </c>
      <c r="E11" s="90">
        <v>8</v>
      </c>
      <c r="F11" s="70" t="s">
        <v>4</v>
      </c>
      <c r="G11" s="13">
        <f>ROUNDDOWN((C11*E11)/100,0)</f>
        <v>0</v>
      </c>
      <c r="H11" s="12" t="s">
        <v>19</v>
      </c>
      <c r="I11" s="232">
        <f>G11+G12+G13</f>
        <v>17280</v>
      </c>
      <c r="J11" s="235" t="s">
        <v>4</v>
      </c>
      <c r="K11" s="229" t="s">
        <v>14</v>
      </c>
      <c r="L11" s="230"/>
      <c r="M11" s="230"/>
      <c r="N11" s="231"/>
      <c r="Q11">
        <v>21840</v>
      </c>
      <c r="R11">
        <f t="shared" si="0"/>
        <v>6552</v>
      </c>
      <c r="S11">
        <f t="shared" si="0"/>
        <v>10920</v>
      </c>
      <c r="T11">
        <f t="shared" si="0"/>
        <v>17472</v>
      </c>
    </row>
    <row r="12" spans="1:20" ht="15.75" thickTop="1">
      <c r="A12" s="11" t="s">
        <v>6</v>
      </c>
      <c r="B12" s="12"/>
      <c r="C12" s="13">
        <v>10800</v>
      </c>
      <c r="D12" s="14" t="s">
        <v>4</v>
      </c>
      <c r="E12" s="67">
        <v>1</v>
      </c>
      <c r="F12" s="70" t="s">
        <v>7</v>
      </c>
      <c r="G12" s="13">
        <f>ROUNDDOWN(C12*E12,0)</f>
        <v>10800</v>
      </c>
      <c r="H12" s="12" t="s">
        <v>19</v>
      </c>
      <c r="I12" s="233"/>
      <c r="J12" s="228"/>
      <c r="K12" s="39" t="s">
        <v>8</v>
      </c>
      <c r="L12" s="40"/>
      <c r="M12" s="38" t="s">
        <v>9</v>
      </c>
      <c r="N12" s="41"/>
      <c r="Q12">
        <v>10800</v>
      </c>
      <c r="R12">
        <f t="shared" si="0"/>
        <v>3240</v>
      </c>
      <c r="S12">
        <f t="shared" si="0"/>
        <v>5400</v>
      </c>
      <c r="T12">
        <f t="shared" si="0"/>
        <v>8640</v>
      </c>
    </row>
    <row r="13" spans="1:20" ht="15.75" thickBot="1">
      <c r="A13" s="28" t="s">
        <v>10</v>
      </c>
      <c r="B13" s="29"/>
      <c r="C13" s="30">
        <v>6480</v>
      </c>
      <c r="D13" s="31" t="s">
        <v>4</v>
      </c>
      <c r="E13" s="63"/>
      <c r="F13" s="72"/>
      <c r="G13" s="30">
        <f>C13</f>
        <v>6480</v>
      </c>
      <c r="H13" s="29" t="s">
        <v>19</v>
      </c>
      <c r="I13" s="237"/>
      <c r="J13" s="238"/>
      <c r="K13" s="42">
        <f>IF(I11&gt;=$Q$5,$Q$5,I11)</f>
        <v>17280</v>
      </c>
      <c r="L13" s="43" t="s">
        <v>4</v>
      </c>
      <c r="M13" s="44">
        <f>ROUNDDOWN(K13/12,0)</f>
        <v>1440</v>
      </c>
      <c r="N13" s="45" t="s">
        <v>4</v>
      </c>
      <c r="O13" s="95" t="str">
        <f>IF(I11&gt;$Q$5,"限度額超過","")</f>
        <v/>
      </c>
      <c r="Q13">
        <v>9120</v>
      </c>
      <c r="R13">
        <f t="shared" si="0"/>
        <v>2736</v>
      </c>
      <c r="S13">
        <f t="shared" si="0"/>
        <v>4560</v>
      </c>
      <c r="T13">
        <f t="shared" si="0"/>
        <v>7296</v>
      </c>
    </row>
    <row r="14" spans="1:20" ht="15.75" thickBot="1">
      <c r="A14" s="1"/>
      <c r="B14" s="1"/>
      <c r="C14" s="1"/>
      <c r="D14" s="1"/>
      <c r="E14" s="1"/>
      <c r="F14" s="1"/>
      <c r="G14" s="1"/>
      <c r="H14" s="1"/>
      <c r="I14" s="91"/>
      <c r="J14" s="1"/>
      <c r="K14" s="226" t="s">
        <v>15</v>
      </c>
      <c r="L14" s="227"/>
      <c r="M14" s="227"/>
      <c r="N14" s="228"/>
      <c r="Q14">
        <v>10320</v>
      </c>
      <c r="R14">
        <f t="shared" si="0"/>
        <v>3096</v>
      </c>
      <c r="S14">
        <f t="shared" si="0"/>
        <v>5160</v>
      </c>
      <c r="T14">
        <f t="shared" si="0"/>
        <v>8256</v>
      </c>
    </row>
    <row r="15" spans="1:20" ht="15.75" thickTop="1">
      <c r="A15" s="1"/>
      <c r="B15" s="1"/>
      <c r="C15" s="1"/>
      <c r="F15" s="1"/>
      <c r="G15" s="1" t="s">
        <v>37</v>
      </c>
      <c r="H15" s="1"/>
      <c r="J15" s="1"/>
      <c r="K15" s="39" t="s">
        <v>8</v>
      </c>
      <c r="L15" s="40"/>
      <c r="M15" s="38" t="s">
        <v>9</v>
      </c>
      <c r="N15" s="41"/>
      <c r="Q15">
        <v>6000</v>
      </c>
      <c r="R15">
        <f t="shared" si="0"/>
        <v>1800</v>
      </c>
      <c r="S15">
        <f t="shared" si="0"/>
        <v>3000</v>
      </c>
      <c r="T15">
        <f t="shared" si="0"/>
        <v>4800</v>
      </c>
    </row>
    <row r="16" spans="1:20" ht="15.75" thickBot="1">
      <c r="A16" s="1"/>
      <c r="B16" s="1"/>
      <c r="C16" s="1"/>
      <c r="F16" s="1"/>
      <c r="G16" s="1" t="s">
        <v>38</v>
      </c>
      <c r="H16" s="1"/>
      <c r="J16" s="1"/>
      <c r="K16" s="51">
        <f>K5+K9</f>
        <v>168944</v>
      </c>
      <c r="L16" s="52" t="s">
        <v>4</v>
      </c>
      <c r="M16" s="53">
        <f>ROUNDDOWN(K16/12,0)</f>
        <v>14078</v>
      </c>
      <c r="N16" s="54" t="s">
        <v>4</v>
      </c>
      <c r="O16" s="94" t="s">
        <v>39</v>
      </c>
    </row>
    <row r="17" spans="1:15" ht="15.75" thickBot="1">
      <c r="A17" s="1"/>
      <c r="B17" s="1"/>
      <c r="C17" s="1"/>
      <c r="F17" s="1"/>
      <c r="G17" s="1" t="s">
        <v>29</v>
      </c>
      <c r="H17" s="1"/>
      <c r="J17" s="1"/>
      <c r="K17" s="229" t="s">
        <v>36</v>
      </c>
      <c r="L17" s="230"/>
      <c r="M17" s="230"/>
      <c r="N17" s="231"/>
    </row>
    <row r="18" spans="1:15" ht="15.75" thickTop="1">
      <c r="A18" s="1"/>
      <c r="B18" s="1"/>
      <c r="C18" s="1"/>
      <c r="D18" s="1"/>
      <c r="E18" s="1"/>
      <c r="F18" s="1"/>
      <c r="G18" s="1"/>
      <c r="H18" s="1"/>
      <c r="I18" s="91"/>
      <c r="J18" s="1"/>
      <c r="K18" s="39" t="s">
        <v>8</v>
      </c>
      <c r="L18" s="40"/>
      <c r="M18" s="38" t="s">
        <v>9</v>
      </c>
      <c r="N18" s="41"/>
    </row>
    <row r="19" spans="1:15" ht="15.75" thickBot="1">
      <c r="A19" s="1"/>
      <c r="B19" s="1"/>
      <c r="C19" s="1"/>
      <c r="D19" s="1"/>
      <c r="E19" s="1"/>
      <c r="F19" s="1"/>
      <c r="G19" s="1"/>
      <c r="H19" s="1"/>
      <c r="I19" s="91"/>
      <c r="J19" s="1"/>
      <c r="K19" s="46">
        <f>K16+K13</f>
        <v>186224</v>
      </c>
      <c r="L19" s="47" t="s">
        <v>4</v>
      </c>
      <c r="M19" s="48">
        <f>ROUNDDOWN(K19/12,0)</f>
        <v>15518</v>
      </c>
      <c r="N19" s="49" t="s">
        <v>4</v>
      </c>
      <c r="O19" s="94" t="s">
        <v>40</v>
      </c>
    </row>
    <row r="20" spans="1:15" ht="15">
      <c r="A20" s="1"/>
      <c r="B20" s="1"/>
      <c r="C20" s="1"/>
      <c r="D20" s="1"/>
      <c r="E20" s="1"/>
      <c r="F20" s="1"/>
      <c r="G20" s="1"/>
      <c r="H20" s="1"/>
      <c r="I20" s="91"/>
      <c r="J20" s="1"/>
      <c r="K20" s="56"/>
      <c r="L20" s="57"/>
      <c r="M20" s="58"/>
      <c r="N20" s="57"/>
    </row>
    <row r="21" spans="1:15" ht="15">
      <c r="A21" s="1"/>
      <c r="B21" s="1"/>
      <c r="C21" s="1"/>
      <c r="D21" s="1"/>
      <c r="E21" s="1"/>
      <c r="F21" s="1"/>
      <c r="G21" s="1"/>
      <c r="H21" s="1"/>
      <c r="I21" s="91"/>
      <c r="J21" s="1"/>
      <c r="K21" s="56"/>
      <c r="L21" s="57"/>
      <c r="M21" s="58"/>
      <c r="N21" s="57"/>
    </row>
    <row r="22" spans="1:15" ht="15">
      <c r="A22" s="1"/>
      <c r="B22" s="1"/>
      <c r="C22" s="1"/>
      <c r="D22" s="1"/>
      <c r="E22" s="1"/>
      <c r="F22" s="1"/>
      <c r="G22" s="1"/>
      <c r="H22" s="1"/>
      <c r="I22" s="91"/>
      <c r="J22" s="1"/>
      <c r="K22" s="56"/>
      <c r="L22" s="57"/>
      <c r="M22" s="58"/>
      <c r="N22" s="57"/>
    </row>
    <row r="23" spans="1:15" ht="15">
      <c r="A23" s="1"/>
      <c r="B23" s="1"/>
      <c r="C23" s="1"/>
      <c r="D23" s="1"/>
      <c r="E23" s="1"/>
      <c r="F23" s="1"/>
      <c r="G23" s="1"/>
      <c r="H23" s="1"/>
      <c r="I23" s="91"/>
      <c r="J23" s="1"/>
      <c r="K23" s="56"/>
      <c r="L23" s="57"/>
      <c r="M23" s="58"/>
      <c r="N23" s="57"/>
    </row>
    <row r="24" spans="1:15" ht="15">
      <c r="A24" s="1"/>
      <c r="B24" s="1"/>
      <c r="C24" s="1"/>
      <c r="D24" s="1"/>
      <c r="E24" s="1"/>
      <c r="F24" s="1"/>
      <c r="G24" s="1"/>
      <c r="H24" s="1"/>
      <c r="I24" s="91"/>
      <c r="J24" s="1"/>
      <c r="K24" s="56"/>
      <c r="L24" s="57"/>
      <c r="M24" s="58"/>
      <c r="N24" s="57"/>
    </row>
    <row r="25" spans="1:15" ht="15">
      <c r="A25" s="1"/>
      <c r="B25" s="1"/>
      <c r="C25" s="1"/>
      <c r="D25" s="1"/>
      <c r="E25" s="1"/>
      <c r="F25" s="1"/>
      <c r="G25" s="1"/>
      <c r="H25" s="1"/>
      <c r="I25" s="91"/>
      <c r="J25" s="1"/>
      <c r="K25" s="56"/>
      <c r="L25" s="57"/>
      <c r="M25" s="58"/>
      <c r="N25" s="57"/>
    </row>
    <row r="27" spans="1:15" ht="15.75" thickBot="1">
      <c r="A27" s="32" t="s">
        <v>16</v>
      </c>
      <c r="B27" s="1"/>
      <c r="C27" s="1"/>
      <c r="D27" s="1"/>
      <c r="E27" s="1"/>
      <c r="F27" s="1"/>
      <c r="G27" s="1"/>
      <c r="H27" s="1"/>
      <c r="I27" s="91"/>
      <c r="J27" s="1"/>
      <c r="K27" s="1"/>
      <c r="L27" s="1"/>
      <c r="M27" s="1"/>
      <c r="N27" s="1"/>
    </row>
    <row r="28" spans="1:15" ht="15.75" thickBot="1">
      <c r="A28" s="3" t="s">
        <v>1</v>
      </c>
      <c r="B28" s="4"/>
      <c r="C28" s="5"/>
      <c r="D28" s="6"/>
      <c r="E28" s="1"/>
      <c r="F28" s="1"/>
      <c r="G28" s="1"/>
      <c r="H28" s="1"/>
      <c r="I28" s="91"/>
      <c r="J28" s="1"/>
      <c r="K28" s="55"/>
      <c r="L28" s="1"/>
      <c r="M28" s="1"/>
      <c r="N28" s="1"/>
    </row>
    <row r="29" spans="1:15" ht="16.5" thickTop="1" thickBot="1">
      <c r="A29" s="7" t="s">
        <v>2</v>
      </c>
      <c r="B29" s="8"/>
      <c r="C29" s="9">
        <f>C3</f>
        <v>8.89</v>
      </c>
      <c r="D29" s="10" t="s">
        <v>3</v>
      </c>
      <c r="E29" s="66">
        <v>1563</v>
      </c>
      <c r="F29" s="69" t="s">
        <v>4</v>
      </c>
      <c r="G29" s="60">
        <f>ROUNDDOWN((C29*E29)/100,0)</f>
        <v>138</v>
      </c>
      <c r="H29" s="59" t="s">
        <v>4</v>
      </c>
      <c r="I29" s="239">
        <f>G29+G30+G31</f>
        <v>82122</v>
      </c>
      <c r="J29" s="231" t="s">
        <v>4</v>
      </c>
      <c r="K29" s="229" t="s">
        <v>5</v>
      </c>
      <c r="L29" s="230"/>
      <c r="M29" s="230"/>
      <c r="N29" s="231"/>
    </row>
    <row r="30" spans="1:15" ht="15.75" thickTop="1">
      <c r="A30" s="11" t="s">
        <v>6</v>
      </c>
      <c r="B30" s="12"/>
      <c r="C30" s="13">
        <f>C4*0.8</f>
        <v>21312</v>
      </c>
      <c r="D30" s="14" t="s">
        <v>4</v>
      </c>
      <c r="E30" s="67">
        <v>3</v>
      </c>
      <c r="F30" s="70" t="s">
        <v>7</v>
      </c>
      <c r="G30" s="13">
        <f>ROUNDDOWN(C30*E30,0)</f>
        <v>63936</v>
      </c>
      <c r="H30" s="12" t="s">
        <v>4</v>
      </c>
      <c r="I30" s="233"/>
      <c r="J30" s="228"/>
      <c r="K30" s="39" t="s">
        <v>8</v>
      </c>
      <c r="L30" s="40"/>
      <c r="M30" s="38" t="s">
        <v>9</v>
      </c>
      <c r="N30" s="41"/>
    </row>
    <row r="31" spans="1:15" ht="15.75" thickBot="1">
      <c r="A31" s="15" t="s">
        <v>10</v>
      </c>
      <c r="B31" s="16"/>
      <c r="C31" s="17">
        <f>C5*0.8</f>
        <v>18048</v>
      </c>
      <c r="D31" s="18" t="s">
        <v>4</v>
      </c>
      <c r="E31" s="50"/>
      <c r="F31" s="70"/>
      <c r="G31" s="13">
        <f>C31</f>
        <v>18048</v>
      </c>
      <c r="H31" s="12" t="s">
        <v>4</v>
      </c>
      <c r="I31" s="234"/>
      <c r="J31" s="236"/>
      <c r="K31" s="42">
        <f>IF(I29&gt;=$Q$3,$Q$3,I29)</f>
        <v>82122</v>
      </c>
      <c r="L31" s="43" t="s">
        <v>4</v>
      </c>
      <c r="M31" s="44">
        <f>ROUNDDOWN(K31/12,0)</f>
        <v>6843</v>
      </c>
      <c r="N31" s="45" t="s">
        <v>4</v>
      </c>
      <c r="O31" s="95" t="str">
        <f>IF(I29&gt;$Q$3,"限度額超過","")</f>
        <v/>
      </c>
    </row>
    <row r="32" spans="1:15" ht="15.75" thickBot="1">
      <c r="A32" s="3" t="s">
        <v>30</v>
      </c>
      <c r="B32" s="4"/>
      <c r="C32" s="5"/>
      <c r="D32" s="6"/>
      <c r="E32" s="61"/>
      <c r="F32" s="71"/>
      <c r="G32" s="62"/>
      <c r="H32" s="35"/>
      <c r="I32" s="92"/>
      <c r="J32" s="35"/>
      <c r="K32" s="35"/>
      <c r="L32" s="35"/>
      <c r="M32" s="35"/>
      <c r="N32" s="37"/>
    </row>
    <row r="33" spans="1:15" ht="16.5" thickTop="1" thickBot="1">
      <c r="A33" s="7" t="s">
        <v>2</v>
      </c>
      <c r="B33" s="8"/>
      <c r="C33" s="9">
        <f>C7</f>
        <v>3.43</v>
      </c>
      <c r="D33" s="10" t="s">
        <v>3</v>
      </c>
      <c r="E33" s="68">
        <f>E29</f>
        <v>1563</v>
      </c>
      <c r="F33" s="70" t="s">
        <v>4</v>
      </c>
      <c r="G33" s="13">
        <f>ROUNDDOWN((C33*E33)/100,0)</f>
        <v>53</v>
      </c>
      <c r="H33" s="12" t="s">
        <v>19</v>
      </c>
      <c r="I33" s="232">
        <f>G33+G34+G35</f>
        <v>31157</v>
      </c>
      <c r="J33" s="235" t="s">
        <v>4</v>
      </c>
      <c r="K33" s="229" t="s">
        <v>35</v>
      </c>
      <c r="L33" s="230"/>
      <c r="M33" s="230"/>
      <c r="N33" s="231"/>
    </row>
    <row r="34" spans="1:15" ht="15.75" thickTop="1">
      <c r="A34" s="11" t="s">
        <v>6</v>
      </c>
      <c r="B34" s="12"/>
      <c r="C34" s="13">
        <f>C8*0.8</f>
        <v>8064</v>
      </c>
      <c r="D34" s="14" t="s">
        <v>4</v>
      </c>
      <c r="E34" s="68">
        <f>E30</f>
        <v>3</v>
      </c>
      <c r="F34" s="70" t="s">
        <v>7</v>
      </c>
      <c r="G34" s="13">
        <f>ROUNDDOWN(C34*E34,0)</f>
        <v>24192</v>
      </c>
      <c r="H34" s="12" t="s">
        <v>19</v>
      </c>
      <c r="I34" s="233"/>
      <c r="J34" s="228"/>
      <c r="K34" s="39" t="s">
        <v>8</v>
      </c>
      <c r="L34" s="40"/>
      <c r="M34" s="38" t="s">
        <v>9</v>
      </c>
      <c r="N34" s="41"/>
    </row>
    <row r="35" spans="1:15" ht="15.75" thickBot="1">
      <c r="A35" s="15" t="s">
        <v>10</v>
      </c>
      <c r="B35" s="16"/>
      <c r="C35" s="13">
        <f>C9*0.8</f>
        <v>6912</v>
      </c>
      <c r="D35" s="18" t="s">
        <v>4</v>
      </c>
      <c r="E35" s="50"/>
      <c r="F35" s="70"/>
      <c r="G35" s="13">
        <f>C35</f>
        <v>6912</v>
      </c>
      <c r="H35" s="12" t="s">
        <v>19</v>
      </c>
      <c r="I35" s="234"/>
      <c r="J35" s="236"/>
      <c r="K35" s="42">
        <f>IF(I33&gt;=$Q$4,$Q$4,I33)</f>
        <v>31157</v>
      </c>
      <c r="L35" s="43" t="s">
        <v>4</v>
      </c>
      <c r="M35" s="44">
        <f>ROUNDDOWN(K35/12,0)</f>
        <v>2596</v>
      </c>
      <c r="N35" s="45" t="s">
        <v>4</v>
      </c>
      <c r="O35" s="95" t="str">
        <f>IF(I33&gt;$Q$4,"限度額超過","")</f>
        <v/>
      </c>
    </row>
    <row r="36" spans="1:15" ht="15.75" thickBot="1">
      <c r="A36" s="20" t="s">
        <v>13</v>
      </c>
      <c r="B36" s="21"/>
      <c r="C36" s="22"/>
      <c r="D36" s="23"/>
      <c r="E36" s="50"/>
      <c r="F36" s="71"/>
      <c r="G36" s="62"/>
      <c r="H36" s="35"/>
      <c r="I36" s="92"/>
      <c r="J36" s="35"/>
      <c r="K36" s="35"/>
      <c r="L36" s="35"/>
      <c r="M36" s="35"/>
      <c r="N36" s="37"/>
    </row>
    <row r="37" spans="1:15" ht="16.5" thickTop="1" thickBot="1">
      <c r="A37" s="24" t="s">
        <v>2</v>
      </c>
      <c r="B37" s="25"/>
      <c r="C37" s="26">
        <f>C11</f>
        <v>2.95</v>
      </c>
      <c r="D37" s="27" t="s">
        <v>3</v>
      </c>
      <c r="E37" s="90">
        <v>520000</v>
      </c>
      <c r="F37" s="70" t="s">
        <v>4</v>
      </c>
      <c r="G37" s="13">
        <f>ROUNDDOWN((C37*E37)/100,0)</f>
        <v>15340</v>
      </c>
      <c r="H37" s="12" t="s">
        <v>19</v>
      </c>
      <c r="I37" s="232">
        <f>G37+G38+G39</f>
        <v>29164</v>
      </c>
      <c r="J37" s="235" t="s">
        <v>4</v>
      </c>
      <c r="K37" s="229" t="s">
        <v>14</v>
      </c>
      <c r="L37" s="230"/>
      <c r="M37" s="230"/>
      <c r="N37" s="231"/>
    </row>
    <row r="38" spans="1:15" ht="15.75" thickTop="1">
      <c r="A38" s="11" t="s">
        <v>6</v>
      </c>
      <c r="B38" s="12"/>
      <c r="C38" s="13">
        <f t="shared" ref="C38:C39" si="1">C12*0.8</f>
        <v>8640</v>
      </c>
      <c r="D38" s="14" t="s">
        <v>4</v>
      </c>
      <c r="E38" s="67">
        <v>1</v>
      </c>
      <c r="F38" s="70" t="s">
        <v>7</v>
      </c>
      <c r="G38" s="13">
        <f>ROUNDDOWN(C38*E38,0)</f>
        <v>8640</v>
      </c>
      <c r="H38" s="12" t="s">
        <v>19</v>
      </c>
      <c r="I38" s="233"/>
      <c r="J38" s="228"/>
      <c r="K38" s="39" t="s">
        <v>8</v>
      </c>
      <c r="L38" s="40"/>
      <c r="M38" s="38" t="s">
        <v>9</v>
      </c>
      <c r="N38" s="41"/>
    </row>
    <row r="39" spans="1:15" ht="15.75" thickBot="1">
      <c r="A39" s="28" t="s">
        <v>10</v>
      </c>
      <c r="B39" s="29"/>
      <c r="C39" s="30">
        <f t="shared" si="1"/>
        <v>5184</v>
      </c>
      <c r="D39" s="31" t="s">
        <v>4</v>
      </c>
      <c r="E39" s="63"/>
      <c r="F39" s="72"/>
      <c r="G39" s="30">
        <f>C39</f>
        <v>5184</v>
      </c>
      <c r="H39" s="29" t="s">
        <v>19</v>
      </c>
      <c r="I39" s="237"/>
      <c r="J39" s="238"/>
      <c r="K39" s="42">
        <f>IF(I37&gt;=$Q$5,$Q$5,I37)</f>
        <v>29164</v>
      </c>
      <c r="L39" s="43" t="s">
        <v>4</v>
      </c>
      <c r="M39" s="44">
        <f>ROUNDDOWN(K39/12,0)</f>
        <v>2430</v>
      </c>
      <c r="N39" s="45" t="s">
        <v>4</v>
      </c>
      <c r="O39" s="95" t="str">
        <f>IF(I37&gt;$Q$5,"限度額超過","")</f>
        <v/>
      </c>
    </row>
    <row r="40" spans="1:15" ht="15.75" thickBot="1">
      <c r="A40" s="1"/>
      <c r="B40" s="1"/>
      <c r="C40" s="1"/>
      <c r="D40" s="1"/>
      <c r="E40" s="1"/>
      <c r="F40" s="1"/>
      <c r="G40" s="1"/>
      <c r="H40" s="1"/>
      <c r="I40" s="91"/>
      <c r="J40" s="1"/>
      <c r="K40" s="226" t="s">
        <v>15</v>
      </c>
      <c r="L40" s="227"/>
      <c r="M40" s="227"/>
      <c r="N40" s="228"/>
    </row>
    <row r="41" spans="1:15" ht="15.75" thickTop="1">
      <c r="A41" s="1"/>
      <c r="B41" s="1"/>
      <c r="C41" s="1"/>
      <c r="D41" s="1"/>
      <c r="E41" s="1"/>
      <c r="F41" s="1"/>
      <c r="G41" s="1" t="s">
        <v>37</v>
      </c>
      <c r="H41" s="1"/>
      <c r="I41" s="91"/>
      <c r="J41" s="1"/>
      <c r="K41" s="39" t="s">
        <v>8</v>
      </c>
      <c r="L41" s="40"/>
      <c r="M41" s="38" t="s">
        <v>9</v>
      </c>
      <c r="N41" s="41"/>
    </row>
    <row r="42" spans="1:15" ht="15.75" thickBot="1">
      <c r="A42" s="1"/>
      <c r="B42" s="1"/>
      <c r="C42" s="1"/>
      <c r="D42" s="1"/>
      <c r="E42" s="1"/>
      <c r="F42" s="1"/>
      <c r="G42" s="1" t="s">
        <v>38</v>
      </c>
      <c r="H42" s="1"/>
      <c r="I42" s="91"/>
      <c r="J42" s="1"/>
      <c r="K42" s="51">
        <f>K31+K35</f>
        <v>113279</v>
      </c>
      <c r="L42" s="52" t="s">
        <v>4</v>
      </c>
      <c r="M42" s="53">
        <f>ROUNDDOWN(K42/12,0)</f>
        <v>9439</v>
      </c>
      <c r="N42" s="54" t="s">
        <v>4</v>
      </c>
      <c r="O42" s="94" t="s">
        <v>39</v>
      </c>
    </row>
    <row r="43" spans="1:15" ht="15.75" thickBot="1">
      <c r="A43" s="1"/>
      <c r="B43" s="1"/>
      <c r="C43" s="1"/>
      <c r="D43" s="1"/>
      <c r="E43" s="1"/>
      <c r="F43" s="1"/>
      <c r="G43" s="1" t="s">
        <v>29</v>
      </c>
      <c r="H43" s="1"/>
      <c r="I43" s="91"/>
      <c r="J43" s="1"/>
      <c r="K43" s="229" t="s">
        <v>36</v>
      </c>
      <c r="L43" s="230"/>
      <c r="M43" s="230"/>
      <c r="N43" s="231"/>
    </row>
    <row r="44" spans="1:15" ht="15.75" thickTop="1">
      <c r="A44" s="1"/>
      <c r="B44" s="1"/>
      <c r="C44" s="1"/>
      <c r="D44" s="1"/>
      <c r="E44" s="1"/>
      <c r="F44" s="1"/>
      <c r="G44" s="1"/>
      <c r="H44" s="1"/>
      <c r="I44" s="91"/>
      <c r="J44" s="1"/>
      <c r="K44" s="39" t="s">
        <v>8</v>
      </c>
      <c r="L44" s="40"/>
      <c r="M44" s="38" t="s">
        <v>9</v>
      </c>
      <c r="N44" s="41"/>
    </row>
    <row r="45" spans="1:15" ht="15.75" thickBot="1">
      <c r="A45" s="1"/>
      <c r="B45" s="1"/>
      <c r="C45" s="1"/>
      <c r="D45" s="1"/>
      <c r="E45" s="1"/>
      <c r="F45" s="1"/>
      <c r="G45" s="1"/>
      <c r="H45" s="1"/>
      <c r="I45" s="91"/>
      <c r="J45" s="1"/>
      <c r="K45" s="46">
        <f>K42+K39</f>
        <v>142443</v>
      </c>
      <c r="L45" s="47" t="s">
        <v>4</v>
      </c>
      <c r="M45" s="48">
        <f>ROUNDDOWN(K45/12,0)</f>
        <v>11870</v>
      </c>
      <c r="N45" s="49" t="s">
        <v>4</v>
      </c>
      <c r="O45" s="94" t="s">
        <v>40</v>
      </c>
    </row>
    <row r="49" spans="1:17" ht="15.75" thickBot="1">
      <c r="A49" s="32" t="s">
        <v>17</v>
      </c>
      <c r="B49" s="1"/>
      <c r="C49" s="1"/>
      <c r="D49" s="1"/>
      <c r="E49" s="1"/>
      <c r="F49" s="1"/>
      <c r="G49" s="1"/>
      <c r="H49" s="1"/>
      <c r="I49" s="91"/>
      <c r="J49" s="1"/>
      <c r="K49" s="1"/>
      <c r="L49" s="1"/>
      <c r="M49" s="1"/>
      <c r="N49" s="1"/>
      <c r="O49" s="96"/>
      <c r="P49" s="1"/>
      <c r="Q49" s="1"/>
    </row>
    <row r="50" spans="1:17" ht="15.75" thickBot="1">
      <c r="A50" s="3" t="s">
        <v>1</v>
      </c>
      <c r="B50" s="4"/>
      <c r="C50" s="5"/>
      <c r="D50" s="6"/>
      <c r="E50" s="1"/>
      <c r="F50" s="1"/>
      <c r="G50" s="1"/>
      <c r="H50" s="1"/>
      <c r="I50" s="91"/>
      <c r="J50" s="1"/>
      <c r="K50" s="55"/>
      <c r="L50" s="1"/>
      <c r="M50" s="1"/>
      <c r="N50" s="1"/>
      <c r="O50" s="96"/>
      <c r="P50" s="1"/>
      <c r="Q50" s="1"/>
    </row>
    <row r="51" spans="1:17" ht="16.5" thickTop="1" thickBot="1">
      <c r="A51" s="7" t="s">
        <v>2</v>
      </c>
      <c r="B51" s="8"/>
      <c r="C51" s="9">
        <f>C3</f>
        <v>8.89</v>
      </c>
      <c r="D51" s="10" t="s">
        <v>3</v>
      </c>
      <c r="E51" s="66">
        <v>1563</v>
      </c>
      <c r="F51" s="69" t="s">
        <v>4</v>
      </c>
      <c r="G51" s="60">
        <f>ROUNDDOWN((C51*E51)/100,0)</f>
        <v>138</v>
      </c>
      <c r="H51" s="59" t="s">
        <v>4</v>
      </c>
      <c r="I51" s="239">
        <f>G51+G52+G53</f>
        <v>51378</v>
      </c>
      <c r="J51" s="231" t="s">
        <v>4</v>
      </c>
      <c r="K51" s="229" t="s">
        <v>5</v>
      </c>
      <c r="L51" s="230"/>
      <c r="M51" s="230"/>
      <c r="N51" s="231"/>
      <c r="O51" s="96"/>
      <c r="P51" s="1"/>
      <c r="Q51" s="1"/>
    </row>
    <row r="52" spans="1:17" ht="15.75" thickTop="1">
      <c r="A52" s="11" t="s">
        <v>6</v>
      </c>
      <c r="B52" s="12"/>
      <c r="C52" s="13">
        <f>C4*0.5</f>
        <v>13320</v>
      </c>
      <c r="D52" s="14" t="s">
        <v>4</v>
      </c>
      <c r="E52" s="67">
        <v>3</v>
      </c>
      <c r="F52" s="70" t="s">
        <v>7</v>
      </c>
      <c r="G52" s="13">
        <f>ROUNDDOWN(C52*E52,0)</f>
        <v>39960</v>
      </c>
      <c r="H52" s="12" t="s">
        <v>4</v>
      </c>
      <c r="I52" s="233"/>
      <c r="J52" s="228"/>
      <c r="K52" s="39" t="s">
        <v>8</v>
      </c>
      <c r="L52" s="40"/>
      <c r="M52" s="38" t="s">
        <v>9</v>
      </c>
      <c r="N52" s="41"/>
      <c r="O52" s="96"/>
      <c r="P52" s="1"/>
      <c r="Q52" s="1"/>
    </row>
    <row r="53" spans="1:17" ht="15.75" thickBot="1">
      <c r="A53" s="15" t="s">
        <v>10</v>
      </c>
      <c r="B53" s="16"/>
      <c r="C53" s="17">
        <f>C5*0.5</f>
        <v>11280</v>
      </c>
      <c r="D53" s="18" t="s">
        <v>4</v>
      </c>
      <c r="E53" s="50"/>
      <c r="F53" s="70"/>
      <c r="G53" s="13">
        <f>C53</f>
        <v>11280</v>
      </c>
      <c r="H53" s="12" t="s">
        <v>4</v>
      </c>
      <c r="I53" s="234"/>
      <c r="J53" s="236"/>
      <c r="K53" s="42">
        <f>IF(I51&gt;=$Q$3,$Q$3,I51)</f>
        <v>51378</v>
      </c>
      <c r="L53" s="43" t="s">
        <v>4</v>
      </c>
      <c r="M53" s="44">
        <f>ROUNDDOWN(K53/12,0)</f>
        <v>4281</v>
      </c>
      <c r="N53" s="45" t="s">
        <v>4</v>
      </c>
      <c r="O53" s="95" t="str">
        <f>IF(I51&gt;$Q$3,"限度額超過","")</f>
        <v/>
      </c>
      <c r="P53" s="1"/>
      <c r="Q53" s="1"/>
    </row>
    <row r="54" spans="1:17" ht="15.75" thickBot="1">
      <c r="A54" s="3" t="s">
        <v>30</v>
      </c>
      <c r="B54" s="4"/>
      <c r="C54" s="5"/>
      <c r="D54" s="6"/>
      <c r="E54" s="61"/>
      <c r="F54" s="71"/>
      <c r="G54" s="62"/>
      <c r="H54" s="35"/>
      <c r="I54" s="92"/>
      <c r="J54" s="35"/>
      <c r="K54" s="35"/>
      <c r="L54" s="35"/>
      <c r="M54" s="35"/>
      <c r="N54" s="37"/>
      <c r="P54" s="1"/>
      <c r="Q54" s="1"/>
    </row>
    <row r="55" spans="1:17" ht="16.5" thickTop="1" thickBot="1">
      <c r="A55" s="7" t="s">
        <v>2</v>
      </c>
      <c r="B55" s="8"/>
      <c r="C55" s="9">
        <f>C33</f>
        <v>3.43</v>
      </c>
      <c r="D55" s="10" t="s">
        <v>3</v>
      </c>
      <c r="E55" s="68">
        <f>E51</f>
        <v>1563</v>
      </c>
      <c r="F55" s="70" t="s">
        <v>4</v>
      </c>
      <c r="G55" s="13">
        <f>ROUNDDOWN((C55*E55)/100,0)</f>
        <v>53</v>
      </c>
      <c r="H55" s="12" t="s">
        <v>19</v>
      </c>
      <c r="I55" s="232">
        <f>G55+G56+G57</f>
        <v>19493</v>
      </c>
      <c r="J55" s="235" t="s">
        <v>4</v>
      </c>
      <c r="K55" s="229" t="s">
        <v>35</v>
      </c>
      <c r="L55" s="230"/>
      <c r="M55" s="230"/>
      <c r="N55" s="231"/>
      <c r="P55" s="1"/>
      <c r="Q55" s="2"/>
    </row>
    <row r="56" spans="1:17" ht="15.75" thickTop="1">
      <c r="A56" s="11" t="s">
        <v>6</v>
      </c>
      <c r="B56" s="12"/>
      <c r="C56" s="13">
        <f t="shared" ref="C56:C57" si="2">C8*0.5</f>
        <v>5040</v>
      </c>
      <c r="D56" s="14" t="s">
        <v>4</v>
      </c>
      <c r="E56" s="68">
        <f>E52</f>
        <v>3</v>
      </c>
      <c r="F56" s="70" t="s">
        <v>7</v>
      </c>
      <c r="G56" s="13">
        <f>ROUNDDOWN(C56*E56,0)</f>
        <v>15120</v>
      </c>
      <c r="H56" s="12" t="s">
        <v>19</v>
      </c>
      <c r="I56" s="233"/>
      <c r="J56" s="228"/>
      <c r="K56" s="39" t="s">
        <v>8</v>
      </c>
      <c r="L56" s="40"/>
      <c r="M56" s="38" t="s">
        <v>9</v>
      </c>
      <c r="N56" s="41"/>
      <c r="P56" s="1"/>
      <c r="Q56" s="1"/>
    </row>
    <row r="57" spans="1:17" ht="15.75" thickBot="1">
      <c r="A57" s="15" t="s">
        <v>10</v>
      </c>
      <c r="B57" s="16"/>
      <c r="C57" s="17">
        <f t="shared" si="2"/>
        <v>4320</v>
      </c>
      <c r="D57" s="18" t="s">
        <v>4</v>
      </c>
      <c r="E57" s="50"/>
      <c r="F57" s="70"/>
      <c r="G57" s="13">
        <f>C57</f>
        <v>4320</v>
      </c>
      <c r="H57" s="12" t="s">
        <v>19</v>
      </c>
      <c r="I57" s="234"/>
      <c r="J57" s="236"/>
      <c r="K57" s="42">
        <f>IF(I55&gt;=$Q$4,$Q$4,I55)</f>
        <v>19493</v>
      </c>
      <c r="L57" s="43" t="s">
        <v>4</v>
      </c>
      <c r="M57" s="44">
        <f>ROUNDDOWN(K57/12,0)</f>
        <v>1624</v>
      </c>
      <c r="N57" s="45" t="s">
        <v>4</v>
      </c>
      <c r="O57" s="95" t="str">
        <f>IF(I55&gt;$Q$4,"限度額超過","")</f>
        <v/>
      </c>
      <c r="P57" s="1"/>
      <c r="Q57" s="1"/>
    </row>
    <row r="58" spans="1:17" ht="15.75" thickBot="1">
      <c r="A58" s="20" t="s">
        <v>13</v>
      </c>
      <c r="B58" s="21"/>
      <c r="C58" s="22"/>
      <c r="D58" s="23"/>
      <c r="E58" s="50"/>
      <c r="F58" s="71"/>
      <c r="G58" s="62"/>
      <c r="H58" s="35"/>
      <c r="I58" s="92"/>
      <c r="J58" s="35"/>
      <c r="K58" s="35"/>
      <c r="L58" s="35"/>
      <c r="M58" s="35"/>
      <c r="N58" s="37"/>
      <c r="P58" s="1"/>
      <c r="Q58" s="1"/>
    </row>
    <row r="59" spans="1:17" ht="16.5" thickTop="1" thickBot="1">
      <c r="A59" s="24" t="s">
        <v>2</v>
      </c>
      <c r="B59" s="25"/>
      <c r="C59" s="26">
        <f>C11</f>
        <v>2.95</v>
      </c>
      <c r="D59" s="27" t="s">
        <v>3</v>
      </c>
      <c r="E59" s="90">
        <v>0</v>
      </c>
      <c r="F59" s="70" t="s">
        <v>4</v>
      </c>
      <c r="G59" s="13">
        <f>ROUNDDOWN((C59*E59)/100,0)</f>
        <v>0</v>
      </c>
      <c r="H59" s="12" t="s">
        <v>19</v>
      </c>
      <c r="I59" s="232">
        <f>G59+G60+G61</f>
        <v>8640</v>
      </c>
      <c r="J59" s="235" t="s">
        <v>4</v>
      </c>
      <c r="K59" s="229" t="s">
        <v>14</v>
      </c>
      <c r="L59" s="230"/>
      <c r="M59" s="230"/>
      <c r="N59" s="231"/>
      <c r="P59" s="1"/>
      <c r="Q59" s="1"/>
    </row>
    <row r="60" spans="1:17" ht="15.75" thickTop="1">
      <c r="A60" s="11" t="s">
        <v>6</v>
      </c>
      <c r="B60" s="12"/>
      <c r="C60" s="13">
        <f t="shared" ref="C60:C61" si="3">C12*0.5</f>
        <v>5400</v>
      </c>
      <c r="D60" s="14" t="s">
        <v>4</v>
      </c>
      <c r="E60" s="67">
        <v>1</v>
      </c>
      <c r="F60" s="70" t="s">
        <v>7</v>
      </c>
      <c r="G60" s="13">
        <f>ROUNDDOWN(C60*E60,0)</f>
        <v>5400</v>
      </c>
      <c r="H60" s="12" t="s">
        <v>19</v>
      </c>
      <c r="I60" s="233"/>
      <c r="J60" s="228"/>
      <c r="K60" s="39" t="s">
        <v>8</v>
      </c>
      <c r="L60" s="40"/>
      <c r="M60" s="38" t="s">
        <v>9</v>
      </c>
      <c r="N60" s="41"/>
      <c r="P60" s="1"/>
      <c r="Q60" s="1"/>
    </row>
    <row r="61" spans="1:17" ht="15.75" thickBot="1">
      <c r="A61" s="28" t="s">
        <v>10</v>
      </c>
      <c r="B61" s="29"/>
      <c r="C61" s="30">
        <f t="shared" si="3"/>
        <v>3240</v>
      </c>
      <c r="D61" s="31" t="s">
        <v>4</v>
      </c>
      <c r="E61" s="63"/>
      <c r="F61" s="72"/>
      <c r="G61" s="30">
        <f>C61</f>
        <v>3240</v>
      </c>
      <c r="H61" s="29" t="s">
        <v>19</v>
      </c>
      <c r="I61" s="237"/>
      <c r="J61" s="238"/>
      <c r="K61" s="42">
        <f>IF(I59&gt;=$Q$5,$Q$5,I59)</f>
        <v>8640</v>
      </c>
      <c r="L61" s="43" t="s">
        <v>4</v>
      </c>
      <c r="M61" s="44">
        <f>ROUNDDOWN(K61/12,0)</f>
        <v>720</v>
      </c>
      <c r="N61" s="45" t="s">
        <v>4</v>
      </c>
      <c r="O61" s="95" t="str">
        <f>IF(I59&gt;$Q$5,"限度額超過","")</f>
        <v/>
      </c>
      <c r="P61" s="1"/>
      <c r="Q61" s="1"/>
    </row>
    <row r="62" spans="1:17" ht="15.75" thickBot="1">
      <c r="A62" s="1"/>
      <c r="B62" s="1"/>
      <c r="C62" s="1"/>
      <c r="D62" s="1"/>
      <c r="E62" s="1"/>
      <c r="F62" s="1"/>
      <c r="G62" s="1"/>
      <c r="H62" s="1"/>
      <c r="I62" s="91"/>
      <c r="J62" s="1"/>
      <c r="K62" s="226" t="s">
        <v>15</v>
      </c>
      <c r="L62" s="227"/>
      <c r="M62" s="227"/>
      <c r="N62" s="228"/>
      <c r="O62" s="96"/>
      <c r="P62" s="1"/>
      <c r="Q62" s="1"/>
    </row>
    <row r="63" spans="1:17" ht="15.75" thickTop="1">
      <c r="A63" s="1"/>
      <c r="B63" s="1"/>
      <c r="C63" s="1"/>
      <c r="D63" s="1"/>
      <c r="E63" s="1"/>
      <c r="F63" s="1"/>
      <c r="G63" s="1" t="s">
        <v>37</v>
      </c>
      <c r="H63" s="1"/>
      <c r="I63" s="91"/>
      <c r="J63" s="1"/>
      <c r="K63" s="39" t="s">
        <v>8</v>
      </c>
      <c r="L63" s="40"/>
      <c r="M63" s="38" t="s">
        <v>9</v>
      </c>
      <c r="N63" s="41"/>
      <c r="O63" s="96"/>
      <c r="P63" s="1"/>
      <c r="Q63" s="1"/>
    </row>
    <row r="64" spans="1:17" ht="15.75" thickBot="1">
      <c r="A64" s="1"/>
      <c r="B64" s="1"/>
      <c r="C64" s="1"/>
      <c r="D64" s="1"/>
      <c r="E64" s="1"/>
      <c r="F64" s="1"/>
      <c r="G64" s="1" t="s">
        <v>38</v>
      </c>
      <c r="H64" s="1"/>
      <c r="I64" s="91"/>
      <c r="J64" s="1"/>
      <c r="K64" s="51">
        <f>K53+K57</f>
        <v>70871</v>
      </c>
      <c r="L64" s="52" t="s">
        <v>4</v>
      </c>
      <c r="M64" s="53">
        <f>ROUNDDOWN(K64/12,0)</f>
        <v>5905</v>
      </c>
      <c r="N64" s="54" t="s">
        <v>4</v>
      </c>
      <c r="O64" s="94" t="s">
        <v>39</v>
      </c>
      <c r="P64" s="1"/>
      <c r="Q64" s="1"/>
    </row>
    <row r="65" spans="1:17" ht="15.75" thickBot="1">
      <c r="A65" s="1"/>
      <c r="B65" s="1"/>
      <c r="C65" s="1"/>
      <c r="D65" s="1"/>
      <c r="E65" s="1"/>
      <c r="F65" s="1"/>
      <c r="G65" s="1" t="s">
        <v>29</v>
      </c>
      <c r="H65" s="1"/>
      <c r="I65" s="91"/>
      <c r="J65" s="1"/>
      <c r="K65" s="229" t="s">
        <v>36</v>
      </c>
      <c r="L65" s="230"/>
      <c r="M65" s="230"/>
      <c r="N65" s="231"/>
    </row>
    <row r="66" spans="1:17" ht="15.75" thickTop="1">
      <c r="A66" s="1"/>
      <c r="B66" s="1"/>
      <c r="C66" s="1"/>
      <c r="D66" s="1"/>
      <c r="E66" s="1"/>
      <c r="F66" s="1"/>
      <c r="G66" s="1"/>
      <c r="H66" s="1"/>
      <c r="I66" s="91"/>
      <c r="J66" s="1"/>
      <c r="K66" s="39" t="s">
        <v>8</v>
      </c>
      <c r="L66" s="40"/>
      <c r="M66" s="38" t="s">
        <v>9</v>
      </c>
      <c r="N66" s="41"/>
    </row>
    <row r="67" spans="1:17" ht="15.75" thickBot="1">
      <c r="A67" s="1"/>
      <c r="B67" s="1"/>
      <c r="C67" s="1"/>
      <c r="D67" s="1"/>
      <c r="E67" s="1"/>
      <c r="F67" s="1"/>
      <c r="G67" s="1"/>
      <c r="H67" s="1"/>
      <c r="I67" s="91"/>
      <c r="J67" s="1"/>
      <c r="K67" s="46">
        <f>K64+K61</f>
        <v>79511</v>
      </c>
      <c r="L67" s="47" t="s">
        <v>4</v>
      </c>
      <c r="M67" s="48">
        <f>ROUNDDOWN(K67/12,0)</f>
        <v>6625</v>
      </c>
      <c r="N67" s="49" t="s">
        <v>4</v>
      </c>
      <c r="O67" s="94" t="s">
        <v>40</v>
      </c>
    </row>
    <row r="71" spans="1:17" ht="15.75" thickBot="1">
      <c r="A71" s="32" t="s">
        <v>18</v>
      </c>
      <c r="B71" s="1"/>
      <c r="C71" s="1"/>
      <c r="D71" s="1"/>
      <c r="E71" s="1"/>
      <c r="F71" s="1"/>
      <c r="G71" s="1"/>
      <c r="H71" s="1"/>
      <c r="I71" s="91"/>
      <c r="J71" s="1"/>
      <c r="K71" s="1"/>
      <c r="L71" s="1"/>
      <c r="M71" s="1"/>
      <c r="N71" s="1"/>
      <c r="O71" s="96"/>
      <c r="P71" s="1"/>
      <c r="Q71" s="1"/>
    </row>
    <row r="72" spans="1:17" ht="15.75" thickBot="1">
      <c r="A72" s="3" t="s">
        <v>1</v>
      </c>
      <c r="B72" s="4"/>
      <c r="C72" s="5"/>
      <c r="D72" s="6"/>
      <c r="E72" s="1"/>
      <c r="F72" s="1"/>
      <c r="G72" s="1"/>
      <c r="H72" s="1"/>
      <c r="I72" s="91"/>
      <c r="J72" s="1"/>
      <c r="K72" s="55"/>
      <c r="L72" s="1"/>
      <c r="M72" s="1"/>
      <c r="N72" s="1"/>
      <c r="O72" s="96"/>
      <c r="P72" s="1"/>
      <c r="Q72" s="1"/>
    </row>
    <row r="73" spans="1:17" ht="16.5" thickTop="1" thickBot="1">
      <c r="A73" s="7" t="s">
        <v>2</v>
      </c>
      <c r="B73" s="8"/>
      <c r="C73" s="9">
        <f>C3</f>
        <v>8.89</v>
      </c>
      <c r="D73" s="10" t="s">
        <v>3</v>
      </c>
      <c r="E73" s="66"/>
      <c r="F73" s="69" t="s">
        <v>4</v>
      </c>
      <c r="G73" s="60">
        <f>ROUNDDOWN((C73*E73)/100,0)</f>
        <v>0</v>
      </c>
      <c r="H73" s="59" t="s">
        <v>4</v>
      </c>
      <c r="I73" s="239">
        <f>G73+G74+G75</f>
        <v>22752</v>
      </c>
      <c r="J73" s="231" t="s">
        <v>4</v>
      </c>
      <c r="K73" s="229" t="s">
        <v>5</v>
      </c>
      <c r="L73" s="230"/>
      <c r="M73" s="230"/>
      <c r="N73" s="231"/>
      <c r="O73" s="96"/>
      <c r="P73" s="1"/>
      <c r="Q73" s="1"/>
    </row>
    <row r="74" spans="1:17" ht="15.75" thickTop="1">
      <c r="A74" s="11" t="s">
        <v>6</v>
      </c>
      <c r="B74" s="12"/>
      <c r="C74" s="13">
        <f>C4*0.3</f>
        <v>7992</v>
      </c>
      <c r="D74" s="14" t="s">
        <v>4</v>
      </c>
      <c r="E74" s="67">
        <v>2</v>
      </c>
      <c r="F74" s="70" t="s">
        <v>7</v>
      </c>
      <c r="G74" s="13">
        <f>ROUNDDOWN(C74*E74,0)</f>
        <v>15984</v>
      </c>
      <c r="H74" s="12" t="s">
        <v>4</v>
      </c>
      <c r="I74" s="233"/>
      <c r="J74" s="228"/>
      <c r="K74" s="39" t="s">
        <v>8</v>
      </c>
      <c r="L74" s="40"/>
      <c r="M74" s="38" t="s">
        <v>9</v>
      </c>
      <c r="N74" s="41"/>
      <c r="O74" s="96"/>
      <c r="P74" s="1"/>
      <c r="Q74" s="1"/>
    </row>
    <row r="75" spans="1:17" ht="15.75" thickBot="1">
      <c r="A75" s="15" t="s">
        <v>10</v>
      </c>
      <c r="B75" s="16"/>
      <c r="C75" s="17">
        <f>C5*0.3</f>
        <v>6768</v>
      </c>
      <c r="D75" s="18" t="s">
        <v>4</v>
      </c>
      <c r="E75" s="50"/>
      <c r="F75" s="70"/>
      <c r="G75" s="13">
        <f>C75</f>
        <v>6768</v>
      </c>
      <c r="H75" s="12" t="s">
        <v>4</v>
      </c>
      <c r="I75" s="234"/>
      <c r="J75" s="236"/>
      <c r="K75" s="42">
        <f>IF(I73&gt;=$Q$3,$Q$3,I73)</f>
        <v>22752</v>
      </c>
      <c r="L75" s="43" t="s">
        <v>4</v>
      </c>
      <c r="M75" s="44">
        <f>ROUNDDOWN(K75/12,0)</f>
        <v>1896</v>
      </c>
      <c r="N75" s="45" t="s">
        <v>4</v>
      </c>
      <c r="O75" s="95" t="str">
        <f>IF(I73&gt;$Q$3,"限度額超過","")</f>
        <v/>
      </c>
      <c r="P75" s="1"/>
      <c r="Q75" s="1"/>
    </row>
    <row r="76" spans="1:17" ht="15.75" thickBot="1">
      <c r="A76" s="3" t="s">
        <v>30</v>
      </c>
      <c r="B76" s="4"/>
      <c r="C76" s="5"/>
      <c r="D76" s="6"/>
      <c r="E76" s="61"/>
      <c r="F76" s="71"/>
      <c r="G76" s="62"/>
      <c r="H76" s="35"/>
      <c r="I76" s="92"/>
      <c r="J76" s="35"/>
      <c r="K76" s="35"/>
      <c r="L76" s="35"/>
      <c r="M76" s="35"/>
      <c r="N76" s="37"/>
      <c r="P76" s="1"/>
      <c r="Q76" s="1"/>
    </row>
    <row r="77" spans="1:17" ht="16.5" thickTop="1" thickBot="1">
      <c r="A77" s="7" t="s">
        <v>2</v>
      </c>
      <c r="B77" s="8"/>
      <c r="C77" s="9">
        <f>C7</f>
        <v>3.43</v>
      </c>
      <c r="D77" s="10" t="s">
        <v>3</v>
      </c>
      <c r="E77" s="68">
        <f>E73</f>
        <v>0</v>
      </c>
      <c r="F77" s="70" t="s">
        <v>4</v>
      </c>
      <c r="G77" s="13">
        <f>ROUNDDOWN((C77*E77)/100,0)</f>
        <v>0</v>
      </c>
      <c r="H77" s="12" t="s">
        <v>19</v>
      </c>
      <c r="I77" s="232">
        <f>G77+G78+G79</f>
        <v>8640</v>
      </c>
      <c r="J77" s="235" t="s">
        <v>4</v>
      </c>
      <c r="K77" s="229" t="s">
        <v>35</v>
      </c>
      <c r="L77" s="230"/>
      <c r="M77" s="230"/>
      <c r="N77" s="231"/>
      <c r="P77" s="1"/>
      <c r="Q77" s="2"/>
    </row>
    <row r="78" spans="1:17" ht="15.75" thickTop="1">
      <c r="A78" s="11" t="s">
        <v>6</v>
      </c>
      <c r="B78" s="12"/>
      <c r="C78" s="13">
        <f>C8*0.3</f>
        <v>3024</v>
      </c>
      <c r="D78" s="14" t="s">
        <v>4</v>
      </c>
      <c r="E78" s="68">
        <f>E74</f>
        <v>2</v>
      </c>
      <c r="F78" s="70" t="s">
        <v>7</v>
      </c>
      <c r="G78" s="13">
        <f>ROUNDDOWN(C78*E78,0)</f>
        <v>6048</v>
      </c>
      <c r="H78" s="12" t="s">
        <v>19</v>
      </c>
      <c r="I78" s="233"/>
      <c r="J78" s="228"/>
      <c r="K78" s="39" t="s">
        <v>8</v>
      </c>
      <c r="L78" s="40"/>
      <c r="M78" s="38" t="s">
        <v>9</v>
      </c>
      <c r="N78" s="41"/>
      <c r="P78" s="1"/>
      <c r="Q78" s="1"/>
    </row>
    <row r="79" spans="1:17" ht="15.75" thickBot="1">
      <c r="A79" s="15" t="s">
        <v>10</v>
      </c>
      <c r="B79" s="16"/>
      <c r="C79" s="17">
        <f>C9*0.3</f>
        <v>2592</v>
      </c>
      <c r="D79" s="18" t="s">
        <v>4</v>
      </c>
      <c r="E79" s="50"/>
      <c r="F79" s="70"/>
      <c r="G79" s="13">
        <f>C79</f>
        <v>2592</v>
      </c>
      <c r="H79" s="12" t="s">
        <v>19</v>
      </c>
      <c r="I79" s="234"/>
      <c r="J79" s="236"/>
      <c r="K79" s="42">
        <f>IF(I77&gt;=$Q$4,$Q$4,I77)</f>
        <v>8640</v>
      </c>
      <c r="L79" s="43" t="s">
        <v>4</v>
      </c>
      <c r="M79" s="44">
        <f>ROUNDDOWN(K79/12,0)</f>
        <v>720</v>
      </c>
      <c r="N79" s="45" t="s">
        <v>4</v>
      </c>
      <c r="O79" s="95" t="str">
        <f>IF(I77&gt;$Q$4,"限度額超過","")</f>
        <v/>
      </c>
      <c r="P79" s="1"/>
      <c r="Q79" s="1"/>
    </row>
    <row r="80" spans="1:17" ht="15.75" thickBot="1">
      <c r="A80" s="20" t="s">
        <v>13</v>
      </c>
      <c r="B80" s="21"/>
      <c r="C80" s="22"/>
      <c r="D80" s="23"/>
      <c r="E80" s="50"/>
      <c r="F80" s="71"/>
      <c r="G80" s="62"/>
      <c r="H80" s="35"/>
      <c r="I80" s="92"/>
      <c r="J80" s="35"/>
      <c r="K80" s="35"/>
      <c r="L80" s="35"/>
      <c r="M80" s="35"/>
      <c r="N80" s="37"/>
      <c r="P80" s="1"/>
      <c r="Q80" s="1"/>
    </row>
    <row r="81" spans="1:17" ht="16.5" thickTop="1" thickBot="1">
      <c r="A81" s="24" t="s">
        <v>2</v>
      </c>
      <c r="B81" s="25"/>
      <c r="C81" s="26">
        <f>C11</f>
        <v>2.95</v>
      </c>
      <c r="D81" s="27" t="s">
        <v>3</v>
      </c>
      <c r="E81" s="90"/>
      <c r="F81" s="70" t="s">
        <v>4</v>
      </c>
      <c r="G81" s="13">
        <f>ROUNDDOWN((C81*E81)/100,0)</f>
        <v>0</v>
      </c>
      <c r="H81" s="12" t="s">
        <v>19</v>
      </c>
      <c r="I81" s="232">
        <f>G81+G82+G83</f>
        <v>5184</v>
      </c>
      <c r="J81" s="235" t="s">
        <v>4</v>
      </c>
      <c r="K81" s="229" t="s">
        <v>14</v>
      </c>
      <c r="L81" s="230"/>
      <c r="M81" s="230"/>
      <c r="N81" s="231"/>
      <c r="P81" s="1"/>
      <c r="Q81" s="1"/>
    </row>
    <row r="82" spans="1:17" ht="15.75" thickTop="1">
      <c r="A82" s="11" t="s">
        <v>6</v>
      </c>
      <c r="B82" s="12"/>
      <c r="C82" s="13">
        <f>C12*0.3</f>
        <v>3240</v>
      </c>
      <c r="D82" s="14" t="s">
        <v>4</v>
      </c>
      <c r="E82" s="67">
        <v>1</v>
      </c>
      <c r="F82" s="70" t="s">
        <v>7</v>
      </c>
      <c r="G82" s="13">
        <f>ROUNDDOWN(C82*E82,0)</f>
        <v>3240</v>
      </c>
      <c r="H82" s="12" t="s">
        <v>19</v>
      </c>
      <c r="I82" s="233"/>
      <c r="J82" s="228"/>
      <c r="K82" s="39" t="s">
        <v>8</v>
      </c>
      <c r="L82" s="40"/>
      <c r="M82" s="38" t="s">
        <v>9</v>
      </c>
      <c r="N82" s="41"/>
      <c r="P82" s="1"/>
      <c r="Q82" s="1"/>
    </row>
    <row r="83" spans="1:17" ht="15.75" thickBot="1">
      <c r="A83" s="28" t="s">
        <v>10</v>
      </c>
      <c r="B83" s="29"/>
      <c r="C83" s="30">
        <f>C13*0.3</f>
        <v>1944</v>
      </c>
      <c r="D83" s="31" t="s">
        <v>4</v>
      </c>
      <c r="E83" s="63"/>
      <c r="F83" s="72"/>
      <c r="G83" s="30">
        <f>C83</f>
        <v>1944</v>
      </c>
      <c r="H83" s="29" t="s">
        <v>19</v>
      </c>
      <c r="I83" s="237"/>
      <c r="J83" s="238"/>
      <c r="K83" s="42">
        <f>IF(I81&gt;=$Q$5,$Q$5,I81)</f>
        <v>5184</v>
      </c>
      <c r="L83" s="43" t="s">
        <v>4</v>
      </c>
      <c r="M83" s="44">
        <f>ROUNDDOWN(K83/12,0)</f>
        <v>432</v>
      </c>
      <c r="N83" s="45" t="s">
        <v>4</v>
      </c>
      <c r="O83" s="95" t="str">
        <f>IF(I81&gt;$Q$5,"限度額超過","")</f>
        <v/>
      </c>
      <c r="P83" s="1"/>
      <c r="Q83" s="1"/>
    </row>
    <row r="84" spans="1:17" ht="15.75" thickBot="1">
      <c r="A84" s="1"/>
      <c r="B84" s="1"/>
      <c r="C84" s="1"/>
      <c r="D84" s="1"/>
      <c r="E84" s="1"/>
      <c r="F84" s="1"/>
      <c r="G84" s="1"/>
      <c r="H84" s="1"/>
      <c r="I84" s="91"/>
      <c r="J84" s="1"/>
      <c r="K84" s="226" t="s">
        <v>15</v>
      </c>
      <c r="L84" s="227"/>
      <c r="M84" s="227"/>
      <c r="N84" s="228"/>
      <c r="O84" s="96"/>
      <c r="P84" s="1"/>
      <c r="Q84" s="1"/>
    </row>
    <row r="85" spans="1:17" ht="15.75" thickTop="1">
      <c r="A85" s="1"/>
      <c r="B85" s="1"/>
      <c r="C85" s="1"/>
      <c r="D85" s="1"/>
      <c r="E85" s="1"/>
      <c r="F85" s="1"/>
      <c r="G85" s="1" t="s">
        <v>37</v>
      </c>
      <c r="H85" s="1"/>
      <c r="I85" s="91"/>
      <c r="J85" s="1"/>
      <c r="K85" s="39" t="s">
        <v>8</v>
      </c>
      <c r="L85" s="40"/>
      <c r="M85" s="38" t="s">
        <v>9</v>
      </c>
      <c r="N85" s="41"/>
      <c r="O85" s="96"/>
      <c r="P85" s="1"/>
      <c r="Q85" s="1"/>
    </row>
    <row r="86" spans="1:17" ht="15.75" thickBot="1">
      <c r="A86" s="1"/>
      <c r="B86" s="1"/>
      <c r="C86" s="1"/>
      <c r="D86" s="1"/>
      <c r="E86" s="1"/>
      <c r="F86" s="1"/>
      <c r="G86" s="1" t="s">
        <v>38</v>
      </c>
      <c r="H86" s="1"/>
      <c r="I86" s="91"/>
      <c r="J86" s="1"/>
      <c r="K86" s="51">
        <f>K75+K79</f>
        <v>31392</v>
      </c>
      <c r="L86" s="52" t="s">
        <v>4</v>
      </c>
      <c r="M86" s="53">
        <f>ROUNDDOWN(K86/12,0)</f>
        <v>2616</v>
      </c>
      <c r="N86" s="54" t="s">
        <v>4</v>
      </c>
      <c r="O86" s="94" t="s">
        <v>39</v>
      </c>
      <c r="P86" s="1"/>
      <c r="Q86" s="1"/>
    </row>
    <row r="87" spans="1:17" ht="15.75" thickBot="1">
      <c r="A87" s="1"/>
      <c r="B87" s="1"/>
      <c r="C87" s="1"/>
      <c r="D87" s="1"/>
      <c r="E87" s="1"/>
      <c r="F87" s="1"/>
      <c r="G87" s="1" t="s">
        <v>29</v>
      </c>
      <c r="H87" s="1"/>
      <c r="I87" s="91"/>
      <c r="J87" s="1"/>
      <c r="K87" s="229" t="s">
        <v>36</v>
      </c>
      <c r="L87" s="230"/>
      <c r="M87" s="230"/>
      <c r="N87" s="231"/>
    </row>
    <row r="88" spans="1:17" ht="15.75" thickTop="1">
      <c r="A88" s="1"/>
      <c r="B88" s="1"/>
      <c r="C88" s="1"/>
      <c r="D88" s="1"/>
      <c r="E88" s="1"/>
      <c r="F88" s="1"/>
      <c r="G88" s="1"/>
      <c r="H88" s="1"/>
      <c r="I88" s="91"/>
      <c r="J88" s="1"/>
      <c r="K88" s="39" t="s">
        <v>8</v>
      </c>
      <c r="L88" s="40"/>
      <c r="M88" s="38" t="s">
        <v>9</v>
      </c>
      <c r="N88" s="41"/>
    </row>
    <row r="89" spans="1:17" ht="15.75" thickBot="1">
      <c r="A89" s="1"/>
      <c r="B89" s="1"/>
      <c r="C89" s="1"/>
      <c r="D89" s="1"/>
      <c r="E89" s="1"/>
      <c r="F89" s="1"/>
      <c r="G89" s="1"/>
      <c r="H89" s="1"/>
      <c r="I89" s="91"/>
      <c r="J89" s="1"/>
      <c r="K89" s="46">
        <f>K86+K83</f>
        <v>36576</v>
      </c>
      <c r="L89" s="47" t="s">
        <v>4</v>
      </c>
      <c r="M89" s="48">
        <f>ROUNDDOWN(K89/12,0)</f>
        <v>3048</v>
      </c>
      <c r="N89" s="49" t="s">
        <v>4</v>
      </c>
      <c r="O89" s="94" t="s">
        <v>40</v>
      </c>
    </row>
  </sheetData>
  <sheetProtection sheet="1" objects="1" scenarios="1" selectLockedCells="1"/>
  <protectedRanges>
    <protectedRange sqref="E59:E60 E81:E82" name="範囲6"/>
    <protectedRange sqref="E51:E52 E73:E74" name="範囲5"/>
    <protectedRange sqref="E37:E38" name="範囲4"/>
    <protectedRange sqref="E29:E30" name="範囲3"/>
    <protectedRange sqref="E11:E12" name="範囲2"/>
    <protectedRange sqref="E3:E4" name="範囲1"/>
  </protectedRanges>
  <mergeCells count="44">
    <mergeCell ref="I29:I31"/>
    <mergeCell ref="J29:J31"/>
    <mergeCell ref="K29:N29"/>
    <mergeCell ref="I3:I5"/>
    <mergeCell ref="J3:J5"/>
    <mergeCell ref="K3:N3"/>
    <mergeCell ref="I7:I9"/>
    <mergeCell ref="J7:J9"/>
    <mergeCell ref="K7:N7"/>
    <mergeCell ref="I11:I13"/>
    <mergeCell ref="J11:J13"/>
    <mergeCell ref="K11:N11"/>
    <mergeCell ref="K14:N14"/>
    <mergeCell ref="K17:N17"/>
    <mergeCell ref="I55:I57"/>
    <mergeCell ref="J55:J57"/>
    <mergeCell ref="K55:N55"/>
    <mergeCell ref="I33:I35"/>
    <mergeCell ref="J33:J35"/>
    <mergeCell ref="K33:N33"/>
    <mergeCell ref="I37:I39"/>
    <mergeCell ref="J37:J39"/>
    <mergeCell ref="K37:N37"/>
    <mergeCell ref="K40:N40"/>
    <mergeCell ref="K43:N43"/>
    <mergeCell ref="I51:I53"/>
    <mergeCell ref="J51:J53"/>
    <mergeCell ref="K51:N51"/>
    <mergeCell ref="I59:I61"/>
    <mergeCell ref="J59:J61"/>
    <mergeCell ref="K59:N59"/>
    <mergeCell ref="K62:N62"/>
    <mergeCell ref="K65:N65"/>
    <mergeCell ref="K87:N87"/>
    <mergeCell ref="I73:I75"/>
    <mergeCell ref="J73:J75"/>
    <mergeCell ref="K73:N73"/>
    <mergeCell ref="I77:I79"/>
    <mergeCell ref="J77:J79"/>
    <mergeCell ref="K77:N77"/>
    <mergeCell ref="I81:I83"/>
    <mergeCell ref="J81:J83"/>
    <mergeCell ref="K81:N81"/>
    <mergeCell ref="K84:N84"/>
  </mergeCells>
  <phoneticPr fontId="1"/>
  <pageMargins left="0.70866141732283472" right="0.70866141732283472" top="0.74803149606299213" bottom="0.74803149606299213" header="0.31496062992125984" footer="0.31496062992125984"/>
  <pageSetup paperSize="9" scale="58" orientation="portrait" verticalDpi="0" r:id="rId1"/>
</worksheet>
</file>

<file path=xl/worksheets/sheet5.xml><?xml version="1.0" encoding="utf-8"?>
<worksheet xmlns="http://schemas.openxmlformats.org/spreadsheetml/2006/main" xmlns:r="http://schemas.openxmlformats.org/officeDocument/2006/relationships">
  <sheetPr codeName="Sheet3"/>
  <dimension ref="A1:T90"/>
  <sheetViews>
    <sheetView zoomScaleNormal="100" workbookViewId="0">
      <selection activeCell="E51" sqref="E51"/>
    </sheetView>
  </sheetViews>
  <sheetFormatPr defaultRowHeight="13.5"/>
  <cols>
    <col min="2" max="2" width="4" customWidth="1"/>
    <col min="4" max="4" width="4" bestFit="1" customWidth="1"/>
    <col min="5" max="5" width="12" bestFit="1" customWidth="1"/>
    <col min="6" max="6" width="4" bestFit="1" customWidth="1"/>
    <col min="8" max="8" width="4" bestFit="1" customWidth="1"/>
    <col min="9" max="9" width="9.25" bestFit="1" customWidth="1"/>
    <col min="10" max="10" width="4" bestFit="1" customWidth="1"/>
    <col min="11" max="11" width="10.5" bestFit="1" customWidth="1"/>
    <col min="12" max="12" width="4" bestFit="1" customWidth="1"/>
    <col min="14" max="14" width="4" bestFit="1" customWidth="1"/>
    <col min="17" max="20" width="0" hidden="1" customWidth="1"/>
  </cols>
  <sheetData>
    <row r="1" spans="1:20" ht="15.75" thickBot="1">
      <c r="A1" s="32" t="s">
        <v>31</v>
      </c>
      <c r="B1" s="1"/>
      <c r="C1" s="1"/>
      <c r="D1" s="1"/>
      <c r="E1" s="1"/>
      <c r="F1" s="1"/>
      <c r="G1" s="1"/>
      <c r="H1" s="1"/>
      <c r="I1" s="1"/>
      <c r="J1" s="1"/>
      <c r="K1" s="1"/>
      <c r="L1" s="1"/>
      <c r="M1" s="1"/>
      <c r="N1" s="1"/>
    </row>
    <row r="2" spans="1:20" ht="15.75" thickBot="1">
      <c r="A2" s="3" t="s">
        <v>1</v>
      </c>
      <c r="B2" s="4"/>
      <c r="C2" s="5"/>
      <c r="D2" s="6"/>
      <c r="E2" s="1"/>
      <c r="F2" s="1"/>
      <c r="G2" s="1"/>
      <c r="H2" s="1"/>
      <c r="I2" s="1"/>
      <c r="J2" s="1"/>
      <c r="K2" s="55"/>
      <c r="L2" s="1"/>
      <c r="M2" s="1"/>
      <c r="N2" s="1"/>
    </row>
    <row r="3" spans="1:20" ht="16.5" thickTop="1" thickBot="1">
      <c r="A3" s="7" t="s">
        <v>2</v>
      </c>
      <c r="B3" s="8"/>
      <c r="C3" s="9">
        <v>8.48</v>
      </c>
      <c r="D3" s="10" t="s">
        <v>3</v>
      </c>
      <c r="E3" s="66">
        <v>1441600</v>
      </c>
      <c r="F3" s="69" t="s">
        <v>4</v>
      </c>
      <c r="G3" s="60">
        <f>ROUNDDOWN((C3*E3)/100,0)</f>
        <v>122247</v>
      </c>
      <c r="H3" s="59" t="s">
        <v>4</v>
      </c>
      <c r="I3" s="239">
        <f>G3+G4+G5</f>
        <v>194967</v>
      </c>
      <c r="J3" s="231" t="s">
        <v>4</v>
      </c>
      <c r="K3" s="229" t="s">
        <v>5</v>
      </c>
      <c r="L3" s="230"/>
      <c r="M3" s="230"/>
      <c r="N3" s="231"/>
      <c r="Q3">
        <v>520000</v>
      </c>
    </row>
    <row r="4" spans="1:20" ht="15.75" thickTop="1">
      <c r="A4" s="11" t="s">
        <v>6</v>
      </c>
      <c r="B4" s="12"/>
      <c r="C4" s="13">
        <f>HLOOKUP($A$1,$Q$8:$T$15,3,FALSE)</f>
        <v>25440</v>
      </c>
      <c r="D4" s="14" t="s">
        <v>4</v>
      </c>
      <c r="E4" s="67">
        <v>2</v>
      </c>
      <c r="F4" s="70" t="s">
        <v>7</v>
      </c>
      <c r="G4" s="13">
        <f>ROUNDDOWN(C4*E4,0)</f>
        <v>50880</v>
      </c>
      <c r="H4" s="12" t="s">
        <v>4</v>
      </c>
      <c r="I4" s="233"/>
      <c r="J4" s="228"/>
      <c r="K4" s="39" t="s">
        <v>8</v>
      </c>
      <c r="L4" s="40"/>
      <c r="M4" s="38" t="s">
        <v>9</v>
      </c>
      <c r="N4" s="41"/>
      <c r="Q4">
        <v>170000</v>
      </c>
    </row>
    <row r="5" spans="1:20" ht="15.75" thickBot="1">
      <c r="A5" s="15" t="s">
        <v>10</v>
      </c>
      <c r="B5" s="16"/>
      <c r="C5" s="13">
        <f>HLOOKUP($A$1,$Q$8:$T$15,4,FALSE)</f>
        <v>21840</v>
      </c>
      <c r="D5" s="18" t="s">
        <v>4</v>
      </c>
      <c r="E5" s="50"/>
      <c r="F5" s="70"/>
      <c r="G5" s="13">
        <f>C5</f>
        <v>21840</v>
      </c>
      <c r="H5" s="12" t="s">
        <v>4</v>
      </c>
      <c r="I5" s="234"/>
      <c r="J5" s="236"/>
      <c r="K5" s="42">
        <f>IF(I3&gt;=$Q$3,$Q$3,I3)</f>
        <v>194967</v>
      </c>
      <c r="L5" s="43" t="s">
        <v>4</v>
      </c>
      <c r="M5" s="44">
        <f>ROUNDDOWN(K5/12,0)</f>
        <v>16247</v>
      </c>
      <c r="N5" s="45" t="s">
        <v>4</v>
      </c>
      <c r="Q5">
        <v>160000</v>
      </c>
    </row>
    <row r="6" spans="1:20" ht="15.75" thickBot="1">
      <c r="A6" s="3" t="s">
        <v>30</v>
      </c>
      <c r="B6" s="4"/>
      <c r="C6" s="5"/>
      <c r="D6" s="6"/>
      <c r="E6" s="61"/>
      <c r="F6" s="71"/>
      <c r="G6" s="62"/>
      <c r="H6" s="35"/>
      <c r="I6" s="35"/>
      <c r="J6" s="35"/>
      <c r="K6" s="35"/>
      <c r="L6" s="35"/>
      <c r="M6" s="35"/>
      <c r="N6" s="37"/>
    </row>
    <row r="7" spans="1:20" ht="16.5" thickTop="1" thickBot="1">
      <c r="A7" s="7" t="s">
        <v>2</v>
      </c>
      <c r="B7" s="8"/>
      <c r="C7" s="9">
        <v>3.87</v>
      </c>
      <c r="D7" s="10" t="s">
        <v>3</v>
      </c>
      <c r="E7" s="68">
        <f>E3</f>
        <v>1441600</v>
      </c>
      <c r="F7" s="70" t="s">
        <v>4</v>
      </c>
      <c r="G7" s="13">
        <f>ROUNDDOWN((C7*E7)/100,0)</f>
        <v>55789</v>
      </c>
      <c r="H7" s="12" t="s">
        <v>19</v>
      </c>
      <c r="I7" s="232">
        <f>G7+G8+G9</f>
        <v>86509</v>
      </c>
      <c r="J7" s="235" t="s">
        <v>4</v>
      </c>
      <c r="K7" s="229" t="s">
        <v>35</v>
      </c>
      <c r="L7" s="230"/>
      <c r="M7" s="230"/>
      <c r="N7" s="231"/>
    </row>
    <row r="8" spans="1:20" ht="15.75" thickTop="1">
      <c r="A8" s="11" t="s">
        <v>6</v>
      </c>
      <c r="B8" s="12"/>
      <c r="C8" s="13">
        <f>HLOOKUP($A$1,$Q$8:$T$15,5,FALSE)</f>
        <v>10800</v>
      </c>
      <c r="D8" s="14" t="s">
        <v>4</v>
      </c>
      <c r="E8" s="68">
        <f>E4</f>
        <v>2</v>
      </c>
      <c r="F8" s="70" t="s">
        <v>7</v>
      </c>
      <c r="G8" s="13">
        <f>ROUNDDOWN(C8*E8,0)</f>
        <v>21600</v>
      </c>
      <c r="H8" s="12" t="s">
        <v>19</v>
      </c>
      <c r="I8" s="233"/>
      <c r="J8" s="228"/>
      <c r="K8" s="39" t="s">
        <v>8</v>
      </c>
      <c r="L8" s="40"/>
      <c r="M8" s="38" t="s">
        <v>9</v>
      </c>
      <c r="N8" s="41"/>
      <c r="Q8" t="s">
        <v>31</v>
      </c>
      <c r="R8" t="s">
        <v>32</v>
      </c>
      <c r="S8" t="s">
        <v>33</v>
      </c>
      <c r="T8" t="s">
        <v>34</v>
      </c>
    </row>
    <row r="9" spans="1:20" ht="15.75" thickBot="1">
      <c r="A9" s="15" t="s">
        <v>10</v>
      </c>
      <c r="B9" s="16"/>
      <c r="C9" s="13">
        <f>HLOOKUP($A$1,$Q$8:$T$15,6,FALSE)</f>
        <v>9120</v>
      </c>
      <c r="D9" s="18" t="s">
        <v>4</v>
      </c>
      <c r="E9" s="76"/>
      <c r="F9" s="70"/>
      <c r="G9" s="13">
        <f>C9</f>
        <v>9120</v>
      </c>
      <c r="H9" s="12" t="s">
        <v>19</v>
      </c>
      <c r="I9" s="234"/>
      <c r="J9" s="236"/>
      <c r="K9" s="42">
        <f>IF(I7&gt;=$Q$4,$Q$4,I7)</f>
        <v>86509</v>
      </c>
      <c r="L9" s="43" t="s">
        <v>4</v>
      </c>
      <c r="M9" s="44">
        <f>ROUNDDOWN(K9/12,0)</f>
        <v>7209</v>
      </c>
      <c r="N9" s="45" t="s">
        <v>4</v>
      </c>
      <c r="Q9">
        <v>1</v>
      </c>
      <c r="R9">
        <v>0.7</v>
      </c>
      <c r="S9">
        <v>0.5</v>
      </c>
      <c r="T9">
        <v>0.2</v>
      </c>
    </row>
    <row r="10" spans="1:20" ht="15.75" thickBot="1">
      <c r="A10" s="20" t="s">
        <v>13</v>
      </c>
      <c r="B10" s="21"/>
      <c r="C10" s="22"/>
      <c r="D10" s="23"/>
      <c r="E10" s="50"/>
      <c r="F10" s="71"/>
      <c r="G10" s="62"/>
      <c r="H10" s="35"/>
      <c r="I10" s="35"/>
      <c r="J10" s="35"/>
      <c r="K10" s="35"/>
      <c r="L10" s="35"/>
      <c r="M10" s="35"/>
      <c r="N10" s="37"/>
      <c r="Q10">
        <v>25440</v>
      </c>
      <c r="R10">
        <f t="shared" ref="R10:T15" si="0">ROUNDDOWN($Q10*(1-R$9),0)</f>
        <v>7632</v>
      </c>
      <c r="S10">
        <f t="shared" si="0"/>
        <v>12720</v>
      </c>
      <c r="T10">
        <f t="shared" si="0"/>
        <v>20352</v>
      </c>
    </row>
    <row r="11" spans="1:20" ht="16.5" thickTop="1" thickBot="1">
      <c r="A11" s="24" t="s">
        <v>2</v>
      </c>
      <c r="B11" s="25"/>
      <c r="C11" s="26">
        <v>2.73</v>
      </c>
      <c r="D11" s="27" t="s">
        <v>3</v>
      </c>
      <c r="E11" s="90">
        <v>1441600</v>
      </c>
      <c r="F11" s="70" t="s">
        <v>4</v>
      </c>
      <c r="G11" s="13">
        <f>ROUNDDOWN((C11*E11)/100,0)</f>
        <v>39355</v>
      </c>
      <c r="H11" s="12" t="s">
        <v>19</v>
      </c>
      <c r="I11" s="240">
        <f>G11+G12+G13</f>
        <v>55675</v>
      </c>
      <c r="J11" s="235" t="s">
        <v>4</v>
      </c>
      <c r="K11" s="229" t="s">
        <v>14</v>
      </c>
      <c r="L11" s="230"/>
      <c r="M11" s="230"/>
      <c r="N11" s="231"/>
      <c r="Q11">
        <v>21840</v>
      </c>
      <c r="R11">
        <f t="shared" si="0"/>
        <v>6552</v>
      </c>
      <c r="S11">
        <f t="shared" si="0"/>
        <v>10920</v>
      </c>
      <c r="T11">
        <f t="shared" si="0"/>
        <v>17472</v>
      </c>
    </row>
    <row r="12" spans="1:20" ht="15.75" thickTop="1">
      <c r="A12" s="11" t="s">
        <v>6</v>
      </c>
      <c r="B12" s="12"/>
      <c r="C12" s="13">
        <f>HLOOKUP($A$1,$Q$8:$T$15,7,FALSE)</f>
        <v>10320</v>
      </c>
      <c r="D12" s="14" t="s">
        <v>4</v>
      </c>
      <c r="E12" s="67">
        <v>1</v>
      </c>
      <c r="F12" s="70" t="s">
        <v>7</v>
      </c>
      <c r="G12" s="13">
        <f>ROUNDDOWN(C12*E12,0)</f>
        <v>10320</v>
      </c>
      <c r="H12" s="12" t="s">
        <v>19</v>
      </c>
      <c r="I12" s="241"/>
      <c r="J12" s="228"/>
      <c r="K12" s="39" t="s">
        <v>8</v>
      </c>
      <c r="L12" s="40"/>
      <c r="M12" s="38" t="s">
        <v>9</v>
      </c>
      <c r="N12" s="41"/>
      <c r="Q12">
        <v>10800</v>
      </c>
      <c r="R12">
        <f t="shared" si="0"/>
        <v>3240</v>
      </c>
      <c r="S12">
        <f t="shared" si="0"/>
        <v>5400</v>
      </c>
      <c r="T12">
        <f t="shared" si="0"/>
        <v>8640</v>
      </c>
    </row>
    <row r="13" spans="1:20" ht="15.75" thickBot="1">
      <c r="A13" s="28" t="s">
        <v>10</v>
      </c>
      <c r="B13" s="29"/>
      <c r="C13" s="30">
        <f>HLOOKUP($A$1,$Q$8:$T$15,8,FALSE)</f>
        <v>6000</v>
      </c>
      <c r="D13" s="31" t="s">
        <v>4</v>
      </c>
      <c r="E13" s="63"/>
      <c r="F13" s="72"/>
      <c r="G13" s="30">
        <f>C13</f>
        <v>6000</v>
      </c>
      <c r="H13" s="29" t="s">
        <v>19</v>
      </c>
      <c r="I13" s="242"/>
      <c r="J13" s="238"/>
      <c r="K13" s="42">
        <f>IF(I11&gt;=$Q$5,$Q$5,I11)</f>
        <v>55675</v>
      </c>
      <c r="L13" s="43" t="s">
        <v>4</v>
      </c>
      <c r="M13" s="44">
        <f>ROUNDDOWN(K13/12,0)</f>
        <v>4639</v>
      </c>
      <c r="N13" s="45" t="s">
        <v>4</v>
      </c>
      <c r="Q13">
        <v>9120</v>
      </c>
      <c r="R13">
        <f t="shared" si="0"/>
        <v>2736</v>
      </c>
      <c r="S13">
        <f t="shared" si="0"/>
        <v>4560</v>
      </c>
      <c r="T13">
        <f t="shared" si="0"/>
        <v>7296</v>
      </c>
    </row>
    <row r="14" spans="1:20" ht="15.75" thickBot="1">
      <c r="A14" s="1"/>
      <c r="B14" s="1"/>
      <c r="C14" s="1"/>
      <c r="D14" s="1"/>
      <c r="E14" s="1"/>
      <c r="F14" s="1"/>
      <c r="G14" s="1"/>
      <c r="H14" s="1"/>
      <c r="I14" s="1"/>
      <c r="J14" s="1"/>
      <c r="K14" s="226" t="s">
        <v>15</v>
      </c>
      <c r="L14" s="227"/>
      <c r="M14" s="227"/>
      <c r="N14" s="228"/>
      <c r="Q14">
        <v>10320</v>
      </c>
      <c r="R14">
        <f t="shared" si="0"/>
        <v>3096</v>
      </c>
      <c r="S14">
        <f t="shared" si="0"/>
        <v>5160</v>
      </c>
      <c r="T14">
        <f t="shared" si="0"/>
        <v>8256</v>
      </c>
    </row>
    <row r="15" spans="1:20" ht="15.75" thickTop="1">
      <c r="A15" s="1"/>
      <c r="B15" s="1"/>
      <c r="C15" s="1"/>
      <c r="F15" s="1"/>
      <c r="G15" s="1" t="s">
        <v>27</v>
      </c>
      <c r="H15" s="1"/>
      <c r="J15" s="1"/>
      <c r="K15" s="39" t="s">
        <v>8</v>
      </c>
      <c r="L15" s="40"/>
      <c r="M15" s="38" t="s">
        <v>9</v>
      </c>
      <c r="N15" s="41"/>
      <c r="Q15">
        <v>6000</v>
      </c>
      <c r="R15">
        <f t="shared" si="0"/>
        <v>1800</v>
      </c>
      <c r="S15">
        <f t="shared" si="0"/>
        <v>3000</v>
      </c>
      <c r="T15">
        <f t="shared" si="0"/>
        <v>4800</v>
      </c>
    </row>
    <row r="16" spans="1:20" ht="15.75" thickBot="1">
      <c r="A16" s="1"/>
      <c r="B16" s="1"/>
      <c r="C16" s="1"/>
      <c r="F16" s="1"/>
      <c r="G16" s="1" t="s">
        <v>28</v>
      </c>
      <c r="H16" s="1"/>
      <c r="J16" s="1"/>
      <c r="K16" s="51">
        <f>K5+K9</f>
        <v>281476</v>
      </c>
      <c r="L16" s="52" t="s">
        <v>4</v>
      </c>
      <c r="M16" s="53">
        <f>ROUNDDOWN(K16/12,0)</f>
        <v>23456</v>
      </c>
      <c r="N16" s="54" t="s">
        <v>4</v>
      </c>
    </row>
    <row r="17" spans="1:14" ht="15.75" thickBot="1">
      <c r="A17" s="1"/>
      <c r="B17" s="1"/>
      <c r="C17" s="1"/>
      <c r="F17" s="1"/>
      <c r="G17" s="1" t="s">
        <v>29</v>
      </c>
      <c r="H17" s="1"/>
      <c r="J17" s="1"/>
      <c r="K17" s="229" t="s">
        <v>36</v>
      </c>
      <c r="L17" s="230"/>
      <c r="M17" s="230"/>
      <c r="N17" s="231"/>
    </row>
    <row r="18" spans="1:14" ht="15.75" thickTop="1">
      <c r="A18" s="1"/>
      <c r="B18" s="1"/>
      <c r="C18" s="1"/>
      <c r="D18" s="1"/>
      <c r="E18" s="1"/>
      <c r="F18" s="1"/>
      <c r="G18" s="1"/>
      <c r="H18" s="1"/>
      <c r="I18" s="1"/>
      <c r="J18" s="1"/>
      <c r="K18" s="39" t="s">
        <v>8</v>
      </c>
      <c r="L18" s="40"/>
      <c r="M18" s="38" t="s">
        <v>9</v>
      </c>
      <c r="N18" s="41"/>
    </row>
    <row r="19" spans="1:14" ht="15.75" thickBot="1">
      <c r="A19" s="1"/>
      <c r="B19" s="1"/>
      <c r="C19" s="1"/>
      <c r="D19" s="1"/>
      <c r="E19" s="1"/>
      <c r="F19" s="1"/>
      <c r="G19" s="1"/>
      <c r="H19" s="1"/>
      <c r="I19" s="1"/>
      <c r="J19" s="1"/>
      <c r="K19" s="46">
        <f>K16+K13</f>
        <v>337151</v>
      </c>
      <c r="L19" s="47" t="s">
        <v>4</v>
      </c>
      <c r="M19" s="48">
        <f>ROUNDDOWN(K19/12,0)</f>
        <v>28095</v>
      </c>
      <c r="N19" s="49" t="s">
        <v>4</v>
      </c>
    </row>
    <row r="20" spans="1:14" ht="15">
      <c r="A20" s="1"/>
      <c r="B20" s="1"/>
      <c r="C20" s="1"/>
      <c r="D20" s="1"/>
      <c r="E20" s="1"/>
      <c r="F20" s="1"/>
      <c r="G20" s="1"/>
      <c r="H20" s="1"/>
      <c r="I20" s="1"/>
      <c r="J20" s="1"/>
      <c r="K20" s="56"/>
      <c r="L20" s="57"/>
      <c r="M20" s="58"/>
      <c r="N20" s="57"/>
    </row>
    <row r="21" spans="1:14" ht="15">
      <c r="A21" s="1"/>
      <c r="B21" s="1"/>
      <c r="C21" s="1"/>
      <c r="D21" s="1"/>
      <c r="E21" s="1"/>
      <c r="F21" s="1"/>
      <c r="G21" s="1"/>
      <c r="H21" s="1"/>
      <c r="I21" s="1"/>
      <c r="J21" s="1"/>
      <c r="K21" s="56"/>
      <c r="L21" s="57"/>
      <c r="M21" s="58"/>
      <c r="N21" s="57"/>
    </row>
    <row r="22" spans="1:14" ht="15">
      <c r="A22" s="1"/>
      <c r="B22" s="1"/>
      <c r="C22" s="1"/>
      <c r="D22" s="1"/>
      <c r="E22" s="1"/>
      <c r="F22" s="1"/>
      <c r="G22" s="1"/>
      <c r="H22" s="1"/>
      <c r="I22" s="1"/>
      <c r="J22" s="1"/>
      <c r="K22" s="56"/>
      <c r="L22" s="57"/>
      <c r="M22" s="58"/>
      <c r="N22" s="57"/>
    </row>
    <row r="23" spans="1:14" ht="15">
      <c r="A23" s="1"/>
      <c r="B23" s="1"/>
      <c r="C23" s="1"/>
      <c r="D23" s="1"/>
      <c r="E23" s="1"/>
      <c r="F23" s="1"/>
      <c r="G23" s="1"/>
      <c r="H23" s="1"/>
      <c r="I23" s="1"/>
      <c r="J23" s="1"/>
      <c r="K23" s="56"/>
      <c r="L23" s="57"/>
      <c r="M23" s="58"/>
      <c r="N23" s="57"/>
    </row>
    <row r="24" spans="1:14" ht="15">
      <c r="A24" s="1"/>
      <c r="B24" s="1"/>
      <c r="C24" s="1"/>
      <c r="D24" s="1"/>
      <c r="E24" s="1"/>
      <c r="F24" s="1"/>
      <c r="G24" s="1"/>
      <c r="H24" s="1"/>
      <c r="I24" s="1"/>
      <c r="J24" s="1"/>
      <c r="K24" s="56"/>
      <c r="L24" s="57"/>
      <c r="M24" s="58"/>
      <c r="N24" s="57"/>
    </row>
    <row r="25" spans="1:14" ht="15">
      <c r="A25" s="1"/>
      <c r="B25" s="1"/>
      <c r="C25" s="1"/>
      <c r="D25" s="1"/>
      <c r="E25" s="1"/>
      <c r="F25" s="1"/>
      <c r="G25" s="1"/>
      <c r="H25" s="1"/>
      <c r="I25" s="1"/>
      <c r="J25" s="1"/>
      <c r="K25" s="56"/>
      <c r="L25" s="57"/>
      <c r="M25" s="58"/>
      <c r="N25" s="57"/>
    </row>
    <row r="27" spans="1:14" ht="15.75" thickBot="1">
      <c r="A27" s="32" t="s">
        <v>16</v>
      </c>
      <c r="B27" s="1"/>
      <c r="C27" s="1"/>
      <c r="D27" s="1"/>
      <c r="E27" s="1"/>
      <c r="F27" s="1"/>
      <c r="G27" s="1"/>
      <c r="H27" s="1"/>
      <c r="I27" s="1"/>
      <c r="J27" s="1"/>
      <c r="K27" s="1"/>
      <c r="L27" s="1"/>
      <c r="M27" s="1"/>
      <c r="N27" s="1"/>
    </row>
    <row r="28" spans="1:14" ht="15.75" thickBot="1">
      <c r="A28" s="3" t="s">
        <v>1</v>
      </c>
      <c r="B28" s="4"/>
      <c r="C28" s="5"/>
      <c r="D28" s="6"/>
      <c r="E28" s="1"/>
      <c r="F28" s="1"/>
      <c r="G28" s="1"/>
      <c r="H28" s="1"/>
      <c r="I28" s="1"/>
      <c r="J28" s="1"/>
      <c r="K28" s="55"/>
      <c r="L28" s="1"/>
      <c r="M28" s="1"/>
      <c r="N28" s="1"/>
    </row>
    <row r="29" spans="1:14" ht="16.5" thickTop="1" thickBot="1">
      <c r="A29" s="7" t="s">
        <v>2</v>
      </c>
      <c r="B29" s="8"/>
      <c r="C29" s="9">
        <f>C3</f>
        <v>8.48</v>
      </c>
      <c r="D29" s="10" t="s">
        <v>3</v>
      </c>
      <c r="E29" s="66">
        <v>0</v>
      </c>
      <c r="F29" s="69" t="s">
        <v>4</v>
      </c>
      <c r="G29" s="60">
        <f>ROUNDDOWN((C29*E29)/100,0)</f>
        <v>0</v>
      </c>
      <c r="H29" s="59" t="s">
        <v>4</v>
      </c>
      <c r="I29" s="239">
        <f>G29+G30+G31</f>
        <v>37824</v>
      </c>
      <c r="J29" s="231" t="s">
        <v>4</v>
      </c>
      <c r="K29" s="229" t="s">
        <v>5</v>
      </c>
      <c r="L29" s="230"/>
      <c r="M29" s="230"/>
      <c r="N29" s="231"/>
    </row>
    <row r="30" spans="1:14" ht="15.75" thickTop="1">
      <c r="A30" s="11" t="s">
        <v>6</v>
      </c>
      <c r="B30" s="12"/>
      <c r="C30" s="13">
        <f>C4*0.8</f>
        <v>20352</v>
      </c>
      <c r="D30" s="14" t="s">
        <v>4</v>
      </c>
      <c r="E30" s="67">
        <v>1</v>
      </c>
      <c r="F30" s="70" t="s">
        <v>7</v>
      </c>
      <c r="G30" s="13">
        <f>ROUNDDOWN(C30*E30,0)</f>
        <v>20352</v>
      </c>
      <c r="H30" s="12" t="s">
        <v>4</v>
      </c>
      <c r="I30" s="233"/>
      <c r="J30" s="228"/>
      <c r="K30" s="39" t="s">
        <v>8</v>
      </c>
      <c r="L30" s="40"/>
      <c r="M30" s="38" t="s">
        <v>9</v>
      </c>
      <c r="N30" s="41"/>
    </row>
    <row r="31" spans="1:14" ht="15.75" thickBot="1">
      <c r="A31" s="15" t="s">
        <v>10</v>
      </c>
      <c r="B31" s="16"/>
      <c r="C31" s="17">
        <f>C5*0.8</f>
        <v>17472</v>
      </c>
      <c r="D31" s="18" t="s">
        <v>4</v>
      </c>
      <c r="E31" s="50"/>
      <c r="F31" s="70"/>
      <c r="G31" s="13">
        <f>C31</f>
        <v>17472</v>
      </c>
      <c r="H31" s="12" t="s">
        <v>4</v>
      </c>
      <c r="I31" s="234"/>
      <c r="J31" s="236"/>
      <c r="K31" s="42">
        <f>IF(I29&gt;=$Q$3,$Q$3,I29)</f>
        <v>37824</v>
      </c>
      <c r="L31" s="43" t="s">
        <v>4</v>
      </c>
      <c r="M31" s="44">
        <f>ROUNDDOWN(K31/12,0)</f>
        <v>3152</v>
      </c>
      <c r="N31" s="45" t="s">
        <v>4</v>
      </c>
    </row>
    <row r="32" spans="1:14" ht="15.75" thickBot="1">
      <c r="A32" s="3" t="s">
        <v>30</v>
      </c>
      <c r="B32" s="4"/>
      <c r="C32" s="5"/>
      <c r="D32" s="6"/>
      <c r="E32" s="61"/>
      <c r="F32" s="71"/>
      <c r="G32" s="62"/>
      <c r="H32" s="35"/>
      <c r="I32" s="35"/>
      <c r="J32" s="35"/>
      <c r="K32" s="35"/>
      <c r="L32" s="35"/>
      <c r="M32" s="35"/>
      <c r="N32" s="37"/>
    </row>
    <row r="33" spans="1:14" ht="16.5" thickTop="1" thickBot="1">
      <c r="A33" s="7" t="s">
        <v>2</v>
      </c>
      <c r="B33" s="8"/>
      <c r="C33" s="9">
        <f>C7</f>
        <v>3.87</v>
      </c>
      <c r="D33" s="10" t="s">
        <v>3</v>
      </c>
      <c r="E33" s="68">
        <f>E29</f>
        <v>0</v>
      </c>
      <c r="F33" s="70" t="s">
        <v>4</v>
      </c>
      <c r="G33" s="13">
        <f>ROUNDDOWN((C33*E33)/100,0)</f>
        <v>0</v>
      </c>
      <c r="H33" s="12" t="s">
        <v>19</v>
      </c>
      <c r="I33" s="232">
        <f>G33+G34+G35</f>
        <v>15936</v>
      </c>
      <c r="J33" s="235" t="s">
        <v>4</v>
      </c>
      <c r="K33" s="229" t="s">
        <v>35</v>
      </c>
      <c r="L33" s="230"/>
      <c r="M33" s="230"/>
      <c r="N33" s="231"/>
    </row>
    <row r="34" spans="1:14" ht="15.75" thickTop="1">
      <c r="A34" s="11" t="s">
        <v>6</v>
      </c>
      <c r="B34" s="12"/>
      <c r="C34" s="13">
        <f>C8*0.8</f>
        <v>8640</v>
      </c>
      <c r="D34" s="14" t="s">
        <v>4</v>
      </c>
      <c r="E34" s="68">
        <f>E30</f>
        <v>1</v>
      </c>
      <c r="F34" s="70" t="s">
        <v>7</v>
      </c>
      <c r="G34" s="13">
        <f>ROUNDDOWN(C34*E34,0)</f>
        <v>8640</v>
      </c>
      <c r="H34" s="12" t="s">
        <v>19</v>
      </c>
      <c r="I34" s="233"/>
      <c r="J34" s="228"/>
      <c r="K34" s="39" t="s">
        <v>8</v>
      </c>
      <c r="L34" s="40"/>
      <c r="M34" s="38" t="s">
        <v>9</v>
      </c>
      <c r="N34" s="41"/>
    </row>
    <row r="35" spans="1:14" ht="15.75" thickBot="1">
      <c r="A35" s="15" t="s">
        <v>10</v>
      </c>
      <c r="B35" s="16"/>
      <c r="C35" s="13">
        <f>C9*0.8</f>
        <v>7296</v>
      </c>
      <c r="D35" s="18" t="s">
        <v>4</v>
      </c>
      <c r="E35" s="50"/>
      <c r="F35" s="70"/>
      <c r="G35" s="13">
        <f>C35</f>
        <v>7296</v>
      </c>
      <c r="H35" s="12" t="s">
        <v>19</v>
      </c>
      <c r="I35" s="234"/>
      <c r="J35" s="236"/>
      <c r="K35" s="42">
        <f>IF(I33&gt;=$Q$4,$Q$4,I33)</f>
        <v>15936</v>
      </c>
      <c r="L35" s="43" t="s">
        <v>4</v>
      </c>
      <c r="M35" s="44">
        <f>ROUNDDOWN(K35/12,0)</f>
        <v>1328</v>
      </c>
      <c r="N35" s="45" t="s">
        <v>4</v>
      </c>
    </row>
    <row r="36" spans="1:14" ht="15.75" thickBot="1">
      <c r="A36" s="20" t="s">
        <v>13</v>
      </c>
      <c r="B36" s="21"/>
      <c r="C36" s="22"/>
      <c r="D36" s="23"/>
      <c r="E36" s="50"/>
      <c r="F36" s="71"/>
      <c r="G36" s="62"/>
      <c r="H36" s="35"/>
      <c r="I36" s="35"/>
      <c r="J36" s="35"/>
      <c r="K36" s="35"/>
      <c r="L36" s="35"/>
      <c r="M36" s="35"/>
      <c r="N36" s="37"/>
    </row>
    <row r="37" spans="1:14" ht="16.5" thickTop="1" thickBot="1">
      <c r="A37" s="24" t="s">
        <v>2</v>
      </c>
      <c r="B37" s="25"/>
      <c r="C37" s="26">
        <v>2.73</v>
      </c>
      <c r="D37" s="27" t="s">
        <v>3</v>
      </c>
      <c r="E37" s="90">
        <v>0</v>
      </c>
      <c r="F37" s="70" t="s">
        <v>4</v>
      </c>
      <c r="G37" s="13">
        <f>ROUNDDOWN((C37*E37)/100,0)</f>
        <v>0</v>
      </c>
      <c r="H37" s="12" t="s">
        <v>19</v>
      </c>
      <c r="I37" s="240">
        <f>G37+G38+G39</f>
        <v>13056</v>
      </c>
      <c r="J37" s="235" t="s">
        <v>4</v>
      </c>
      <c r="K37" s="229" t="s">
        <v>14</v>
      </c>
      <c r="L37" s="230"/>
      <c r="M37" s="230"/>
      <c r="N37" s="231"/>
    </row>
    <row r="38" spans="1:14" ht="15.75" thickTop="1">
      <c r="A38" s="11" t="s">
        <v>6</v>
      </c>
      <c r="B38" s="12"/>
      <c r="C38" s="13">
        <f t="shared" ref="C38:C39" si="1">C12*0.8</f>
        <v>8256</v>
      </c>
      <c r="D38" s="14" t="s">
        <v>4</v>
      </c>
      <c r="E38" s="67">
        <v>1</v>
      </c>
      <c r="F38" s="70" t="s">
        <v>7</v>
      </c>
      <c r="G38" s="13">
        <f>ROUNDDOWN(C38*E38,0)</f>
        <v>8256</v>
      </c>
      <c r="H38" s="12" t="s">
        <v>19</v>
      </c>
      <c r="I38" s="241"/>
      <c r="J38" s="228"/>
      <c r="K38" s="39" t="s">
        <v>8</v>
      </c>
      <c r="L38" s="40"/>
      <c r="M38" s="38" t="s">
        <v>9</v>
      </c>
      <c r="N38" s="41"/>
    </row>
    <row r="39" spans="1:14" ht="15.75" thickBot="1">
      <c r="A39" s="28" t="s">
        <v>10</v>
      </c>
      <c r="B39" s="29"/>
      <c r="C39" s="30">
        <f t="shared" si="1"/>
        <v>4800</v>
      </c>
      <c r="D39" s="31" t="s">
        <v>4</v>
      </c>
      <c r="E39" s="63"/>
      <c r="F39" s="72"/>
      <c r="G39" s="30">
        <f>C39</f>
        <v>4800</v>
      </c>
      <c r="H39" s="29" t="s">
        <v>19</v>
      </c>
      <c r="I39" s="242"/>
      <c r="J39" s="238"/>
      <c r="K39" s="42">
        <f>IF(I37&gt;=$Q$5,$Q$5,I37)</f>
        <v>13056</v>
      </c>
      <c r="L39" s="43" t="s">
        <v>4</v>
      </c>
      <c r="M39" s="44">
        <f>ROUNDDOWN(K39/12,0)</f>
        <v>1088</v>
      </c>
      <c r="N39" s="45" t="s">
        <v>4</v>
      </c>
    </row>
    <row r="40" spans="1:14" ht="15.75" thickBot="1">
      <c r="A40" s="1"/>
      <c r="B40" s="1"/>
      <c r="C40" s="1"/>
      <c r="D40" s="1"/>
      <c r="E40" s="1"/>
      <c r="F40" s="1"/>
      <c r="G40" s="1"/>
      <c r="H40" s="1"/>
      <c r="I40" s="1"/>
      <c r="J40" s="1"/>
      <c r="K40" s="226" t="s">
        <v>15</v>
      </c>
      <c r="L40" s="227"/>
      <c r="M40" s="227"/>
      <c r="N40" s="228"/>
    </row>
    <row r="41" spans="1:14" ht="15.75" thickTop="1">
      <c r="A41" s="1"/>
      <c r="B41" s="1"/>
      <c r="C41" s="1"/>
      <c r="D41" s="1"/>
      <c r="E41" s="1"/>
      <c r="F41" s="1"/>
      <c r="G41" s="1"/>
      <c r="H41" s="1"/>
      <c r="I41" s="1"/>
      <c r="J41" s="1"/>
      <c r="K41" s="39" t="s">
        <v>8</v>
      </c>
      <c r="L41" s="40"/>
      <c r="M41" s="38" t="s">
        <v>9</v>
      </c>
      <c r="N41" s="41"/>
    </row>
    <row r="42" spans="1:14" ht="15.75" thickBot="1">
      <c r="A42" s="1"/>
      <c r="B42" s="1"/>
      <c r="C42" s="1"/>
      <c r="D42" s="1"/>
      <c r="E42" s="1"/>
      <c r="F42" s="1"/>
      <c r="G42" s="1"/>
      <c r="H42" s="1"/>
      <c r="I42" s="1"/>
      <c r="J42" s="1"/>
      <c r="K42" s="51">
        <f>K31+K35</f>
        <v>53760</v>
      </c>
      <c r="L42" s="52" t="s">
        <v>4</v>
      </c>
      <c r="M42" s="53">
        <f>ROUNDDOWN(K42/12,0)</f>
        <v>4480</v>
      </c>
      <c r="N42" s="54" t="s">
        <v>4</v>
      </c>
    </row>
    <row r="43" spans="1:14" ht="15.75" thickBot="1">
      <c r="A43" s="1"/>
      <c r="B43" s="1"/>
      <c r="C43" s="1"/>
      <c r="D43" s="1"/>
      <c r="E43" s="1"/>
      <c r="F43" s="1"/>
      <c r="G43" s="1"/>
      <c r="H43" s="1"/>
      <c r="I43" s="1"/>
      <c r="J43" s="1"/>
      <c r="K43" s="229" t="s">
        <v>36</v>
      </c>
      <c r="L43" s="230"/>
      <c r="M43" s="230"/>
      <c r="N43" s="231"/>
    </row>
    <row r="44" spans="1:14" ht="15.75" thickTop="1">
      <c r="A44" s="1"/>
      <c r="B44" s="1"/>
      <c r="C44" s="1"/>
      <c r="D44" s="1"/>
      <c r="E44" s="1"/>
      <c r="F44" s="1"/>
      <c r="G44" s="1"/>
      <c r="H44" s="1"/>
      <c r="I44" s="1"/>
      <c r="J44" s="1"/>
      <c r="K44" s="39" t="s">
        <v>8</v>
      </c>
      <c r="L44" s="40"/>
      <c r="M44" s="38" t="s">
        <v>9</v>
      </c>
      <c r="N44" s="41"/>
    </row>
    <row r="45" spans="1:14" ht="15.75" thickBot="1">
      <c r="A45" s="1"/>
      <c r="B45" s="1"/>
      <c r="C45" s="1"/>
      <c r="D45" s="1"/>
      <c r="E45" s="1"/>
      <c r="F45" s="1"/>
      <c r="G45" s="1"/>
      <c r="H45" s="1"/>
      <c r="I45" s="1"/>
      <c r="J45" s="1"/>
      <c r="K45" s="46">
        <f>K42+K39</f>
        <v>66816</v>
      </c>
      <c r="L45" s="47" t="s">
        <v>4</v>
      </c>
      <c r="M45" s="48">
        <f>ROUNDDOWN(K45/12,0)</f>
        <v>5568</v>
      </c>
      <c r="N45" s="49" t="s">
        <v>4</v>
      </c>
    </row>
    <row r="49" spans="1:17" ht="15.75" thickBot="1">
      <c r="A49" s="32" t="s">
        <v>17</v>
      </c>
      <c r="B49" s="1"/>
      <c r="C49" s="1"/>
      <c r="D49" s="1"/>
      <c r="E49" s="1"/>
      <c r="F49" s="1"/>
      <c r="G49" s="1"/>
      <c r="H49" s="1"/>
      <c r="I49" s="1"/>
      <c r="J49" s="1"/>
      <c r="K49" s="1"/>
      <c r="L49" s="1"/>
      <c r="M49" s="1"/>
      <c r="N49" s="1"/>
      <c r="O49" s="1"/>
      <c r="P49" s="1"/>
      <c r="Q49" s="1"/>
    </row>
    <row r="50" spans="1:17" ht="15.75" thickBot="1">
      <c r="A50" s="3" t="s">
        <v>1</v>
      </c>
      <c r="B50" s="4"/>
      <c r="C50" s="5"/>
      <c r="D50" s="6"/>
      <c r="E50" s="1"/>
      <c r="F50" s="1"/>
      <c r="G50" s="1"/>
      <c r="H50" s="1"/>
      <c r="I50" s="1"/>
      <c r="J50" s="1"/>
      <c r="K50" s="55"/>
      <c r="L50" s="1"/>
      <c r="M50" s="1"/>
      <c r="N50" s="1"/>
      <c r="O50" s="1"/>
      <c r="P50" s="1"/>
      <c r="Q50" s="1"/>
    </row>
    <row r="51" spans="1:17" ht="16.5" thickTop="1" thickBot="1">
      <c r="A51" s="7" t="s">
        <v>2</v>
      </c>
      <c r="B51" s="8"/>
      <c r="C51" s="9">
        <f>C3</f>
        <v>8.48</v>
      </c>
      <c r="D51" s="10" t="s">
        <v>3</v>
      </c>
      <c r="E51" s="66">
        <v>13320</v>
      </c>
      <c r="F51" s="69" t="s">
        <v>4</v>
      </c>
      <c r="G51" s="60">
        <f>ROUNDDOWN((C51*E51)/100,0)</f>
        <v>1129</v>
      </c>
      <c r="H51" s="59" t="s">
        <v>4</v>
      </c>
      <c r="I51" s="239">
        <f>G51+G52+G53</f>
        <v>24769</v>
      </c>
      <c r="J51" s="231" t="s">
        <v>4</v>
      </c>
      <c r="K51" s="229" t="s">
        <v>5</v>
      </c>
      <c r="L51" s="230"/>
      <c r="M51" s="230"/>
      <c r="N51" s="231"/>
      <c r="O51" s="1"/>
      <c r="P51" s="1"/>
      <c r="Q51" s="1"/>
    </row>
    <row r="52" spans="1:17" ht="15.75" thickTop="1">
      <c r="A52" s="11" t="s">
        <v>6</v>
      </c>
      <c r="B52" s="12"/>
      <c r="C52" s="13">
        <f>C4*0.5</f>
        <v>12720</v>
      </c>
      <c r="D52" s="14" t="s">
        <v>4</v>
      </c>
      <c r="E52" s="67">
        <v>1</v>
      </c>
      <c r="F52" s="70" t="s">
        <v>7</v>
      </c>
      <c r="G52" s="13">
        <f>ROUNDDOWN(C52*E52,0)</f>
        <v>12720</v>
      </c>
      <c r="H52" s="12" t="s">
        <v>4</v>
      </c>
      <c r="I52" s="233"/>
      <c r="J52" s="228"/>
      <c r="K52" s="39" t="s">
        <v>8</v>
      </c>
      <c r="L52" s="40"/>
      <c r="M52" s="38" t="s">
        <v>9</v>
      </c>
      <c r="N52" s="41"/>
      <c r="O52" s="1"/>
      <c r="P52" s="1"/>
      <c r="Q52" s="1"/>
    </row>
    <row r="53" spans="1:17" ht="15.75" thickBot="1">
      <c r="A53" s="15" t="s">
        <v>10</v>
      </c>
      <c r="B53" s="16"/>
      <c r="C53" s="17">
        <f>C5*0.5</f>
        <v>10920</v>
      </c>
      <c r="D53" s="18" t="s">
        <v>4</v>
      </c>
      <c r="E53" s="50"/>
      <c r="F53" s="70"/>
      <c r="G53" s="13">
        <f>C53</f>
        <v>10920</v>
      </c>
      <c r="H53" s="12" t="s">
        <v>4</v>
      </c>
      <c r="I53" s="234"/>
      <c r="J53" s="236"/>
      <c r="K53" s="42">
        <f>IF(I51&gt;=$Q$3,$Q$3,I51)</f>
        <v>24769</v>
      </c>
      <c r="L53" s="43" t="s">
        <v>4</v>
      </c>
      <c r="M53" s="44">
        <f>ROUNDDOWN(K53/12,0)</f>
        <v>2064</v>
      </c>
      <c r="N53" s="45" t="s">
        <v>4</v>
      </c>
      <c r="O53" s="1"/>
      <c r="P53" s="1"/>
      <c r="Q53" s="1"/>
    </row>
    <row r="54" spans="1:17" ht="15.75" thickBot="1">
      <c r="A54" s="3" t="s">
        <v>30</v>
      </c>
      <c r="B54" s="4"/>
      <c r="C54" s="5"/>
      <c r="D54" s="6"/>
      <c r="E54" s="61"/>
      <c r="F54" s="71"/>
      <c r="G54" s="62"/>
      <c r="H54" s="35"/>
      <c r="I54" s="35"/>
      <c r="J54" s="35"/>
      <c r="K54" s="35"/>
      <c r="L54" s="35"/>
      <c r="M54" s="35"/>
      <c r="N54" s="37"/>
      <c r="O54" s="1"/>
      <c r="P54" s="1"/>
      <c r="Q54" s="1"/>
    </row>
    <row r="55" spans="1:17" ht="16.5" thickTop="1" thickBot="1">
      <c r="A55" s="7" t="s">
        <v>2</v>
      </c>
      <c r="B55" s="8"/>
      <c r="C55" s="9">
        <f>C33</f>
        <v>3.87</v>
      </c>
      <c r="D55" s="10" t="s">
        <v>3</v>
      </c>
      <c r="E55" s="68">
        <f>E51</f>
        <v>13320</v>
      </c>
      <c r="F55" s="70" t="s">
        <v>4</v>
      </c>
      <c r="G55" s="13">
        <f>ROUNDDOWN((C55*E55)/100,0)</f>
        <v>515</v>
      </c>
      <c r="H55" s="12" t="s">
        <v>19</v>
      </c>
      <c r="I55" s="232">
        <f>G55+G56+G57</f>
        <v>10475</v>
      </c>
      <c r="J55" s="235" t="s">
        <v>4</v>
      </c>
      <c r="K55" s="229" t="s">
        <v>35</v>
      </c>
      <c r="L55" s="230"/>
      <c r="M55" s="230"/>
      <c r="N55" s="231"/>
      <c r="O55" s="19"/>
      <c r="P55" s="1"/>
      <c r="Q55" s="2"/>
    </row>
    <row r="56" spans="1:17" ht="15.75" thickTop="1">
      <c r="A56" s="11" t="s">
        <v>6</v>
      </c>
      <c r="B56" s="12"/>
      <c r="C56" s="13">
        <f t="shared" ref="C56:C57" si="2">C8*0.5</f>
        <v>5400</v>
      </c>
      <c r="D56" s="14" t="s">
        <v>4</v>
      </c>
      <c r="E56" s="68">
        <f>E52</f>
        <v>1</v>
      </c>
      <c r="F56" s="70" t="s">
        <v>7</v>
      </c>
      <c r="G56" s="13">
        <f>ROUNDDOWN(C56*E56,0)</f>
        <v>5400</v>
      </c>
      <c r="H56" s="12" t="s">
        <v>19</v>
      </c>
      <c r="I56" s="233"/>
      <c r="J56" s="228"/>
      <c r="K56" s="39" t="s">
        <v>8</v>
      </c>
      <c r="L56" s="40"/>
      <c r="M56" s="38" t="s">
        <v>9</v>
      </c>
      <c r="N56" s="41"/>
      <c r="O56" s="1"/>
      <c r="P56" s="1"/>
      <c r="Q56" s="1"/>
    </row>
    <row r="57" spans="1:17" ht="15.75" thickBot="1">
      <c r="A57" s="15" t="s">
        <v>10</v>
      </c>
      <c r="B57" s="16"/>
      <c r="C57" s="17">
        <f t="shared" si="2"/>
        <v>4560</v>
      </c>
      <c r="D57" s="18" t="s">
        <v>4</v>
      </c>
      <c r="E57" s="50"/>
      <c r="F57" s="70"/>
      <c r="G57" s="13">
        <f>C57</f>
        <v>4560</v>
      </c>
      <c r="H57" s="12" t="s">
        <v>19</v>
      </c>
      <c r="I57" s="234"/>
      <c r="J57" s="236"/>
      <c r="K57" s="42">
        <f>IF(I55&gt;=$Q$4,$Q$4,I55)</f>
        <v>10475</v>
      </c>
      <c r="L57" s="43" t="s">
        <v>4</v>
      </c>
      <c r="M57" s="44">
        <f>ROUNDDOWN(K57/12,0)</f>
        <v>872</v>
      </c>
      <c r="N57" s="45" t="s">
        <v>4</v>
      </c>
      <c r="O57" s="1"/>
      <c r="P57" s="1"/>
      <c r="Q57" s="1"/>
    </row>
    <row r="58" spans="1:17" ht="15.75" thickBot="1">
      <c r="A58" s="20" t="s">
        <v>13</v>
      </c>
      <c r="B58" s="21"/>
      <c r="C58" s="22"/>
      <c r="D58" s="23"/>
      <c r="E58" s="50"/>
      <c r="F58" s="71"/>
      <c r="G58" s="62"/>
      <c r="H58" s="35"/>
      <c r="I58" s="35"/>
      <c r="J58" s="35"/>
      <c r="K58" s="35"/>
      <c r="L58" s="35"/>
      <c r="M58" s="35"/>
      <c r="N58" s="37"/>
      <c r="O58" s="1"/>
      <c r="P58" s="1"/>
      <c r="Q58" s="1"/>
    </row>
    <row r="59" spans="1:17" ht="16.5" thickTop="1" thickBot="1">
      <c r="A59" s="24" t="s">
        <v>2</v>
      </c>
      <c r="B59" s="25"/>
      <c r="C59" s="26">
        <v>2.73</v>
      </c>
      <c r="D59" s="27" t="s">
        <v>3</v>
      </c>
      <c r="E59" s="90">
        <v>13320</v>
      </c>
      <c r="F59" s="70" t="s">
        <v>4</v>
      </c>
      <c r="G59" s="13">
        <f>ROUNDDOWN((C59*E59)/100,0)</f>
        <v>363</v>
      </c>
      <c r="H59" s="12" t="s">
        <v>19</v>
      </c>
      <c r="I59" s="240">
        <f>G59+G60+G61</f>
        <v>8523</v>
      </c>
      <c r="J59" s="235" t="s">
        <v>4</v>
      </c>
      <c r="K59" s="229" t="s">
        <v>14</v>
      </c>
      <c r="L59" s="230"/>
      <c r="M59" s="230"/>
      <c r="N59" s="231"/>
      <c r="O59" s="1"/>
      <c r="P59" s="1"/>
      <c r="Q59" s="1"/>
    </row>
    <row r="60" spans="1:17" ht="15.75" thickTop="1">
      <c r="A60" s="11" t="s">
        <v>6</v>
      </c>
      <c r="B60" s="12"/>
      <c r="C60" s="13">
        <f t="shared" ref="C60:C61" si="3">C12*0.5</f>
        <v>5160</v>
      </c>
      <c r="D60" s="14" t="s">
        <v>4</v>
      </c>
      <c r="E60" s="67">
        <v>1</v>
      </c>
      <c r="F60" s="70" t="s">
        <v>7</v>
      </c>
      <c r="G60" s="13">
        <f>ROUNDDOWN(C60*E60,0)</f>
        <v>5160</v>
      </c>
      <c r="H60" s="12" t="s">
        <v>19</v>
      </c>
      <c r="I60" s="241"/>
      <c r="J60" s="228"/>
      <c r="K60" s="39" t="s">
        <v>8</v>
      </c>
      <c r="L60" s="40"/>
      <c r="M60" s="38" t="s">
        <v>9</v>
      </c>
      <c r="N60" s="41"/>
      <c r="O60" s="1"/>
      <c r="P60" s="1"/>
      <c r="Q60" s="1"/>
    </row>
    <row r="61" spans="1:17" ht="15.75" thickBot="1">
      <c r="A61" s="28" t="s">
        <v>10</v>
      </c>
      <c r="B61" s="29"/>
      <c r="C61" s="30">
        <f t="shared" si="3"/>
        <v>3000</v>
      </c>
      <c r="D61" s="31" t="s">
        <v>4</v>
      </c>
      <c r="E61" s="63"/>
      <c r="F61" s="72"/>
      <c r="G61" s="30">
        <f>C61</f>
        <v>3000</v>
      </c>
      <c r="H61" s="29" t="s">
        <v>19</v>
      </c>
      <c r="I61" s="242"/>
      <c r="J61" s="238"/>
      <c r="K61" s="42">
        <f>IF(I59&gt;=$Q$5,$Q$5,I59)</f>
        <v>8523</v>
      </c>
      <c r="L61" s="43" t="s">
        <v>4</v>
      </c>
      <c r="M61" s="44">
        <f>ROUNDDOWN(K61/12,0)</f>
        <v>710</v>
      </c>
      <c r="N61" s="45" t="s">
        <v>4</v>
      </c>
      <c r="O61" s="1"/>
      <c r="P61" s="1"/>
      <c r="Q61" s="1"/>
    </row>
    <row r="62" spans="1:17" ht="15.75" thickBot="1">
      <c r="A62" s="1"/>
      <c r="B62" s="1"/>
      <c r="C62" s="1"/>
      <c r="D62" s="1"/>
      <c r="E62" s="1"/>
      <c r="F62" s="1"/>
      <c r="G62" s="1"/>
      <c r="H62" s="1"/>
      <c r="I62" s="1"/>
      <c r="J62" s="1"/>
      <c r="K62" s="226" t="s">
        <v>15</v>
      </c>
      <c r="L62" s="227"/>
      <c r="M62" s="227"/>
      <c r="N62" s="228"/>
      <c r="O62" s="1"/>
      <c r="P62" s="1"/>
      <c r="Q62" s="1"/>
    </row>
    <row r="63" spans="1:17" ht="15.75" thickTop="1">
      <c r="A63" s="1"/>
      <c r="B63" s="1"/>
      <c r="C63" s="1"/>
      <c r="D63" s="1"/>
      <c r="E63" s="1"/>
      <c r="F63" s="1"/>
      <c r="G63" s="1"/>
      <c r="H63" s="1"/>
      <c r="I63" s="1"/>
      <c r="J63" s="1"/>
      <c r="K63" s="39" t="s">
        <v>8</v>
      </c>
      <c r="L63" s="40"/>
      <c r="M63" s="38" t="s">
        <v>9</v>
      </c>
      <c r="N63" s="41"/>
      <c r="O63" s="1"/>
      <c r="P63" s="1"/>
      <c r="Q63" s="1"/>
    </row>
    <row r="64" spans="1:17" ht="15.75" thickBot="1">
      <c r="A64" s="1"/>
      <c r="B64" s="1"/>
      <c r="C64" s="1"/>
      <c r="D64" s="1"/>
      <c r="E64" s="1"/>
      <c r="F64" s="1"/>
      <c r="G64" s="1"/>
      <c r="H64" s="1"/>
      <c r="I64" s="1"/>
      <c r="J64" s="1"/>
      <c r="K64" s="51">
        <f>K53+K57</f>
        <v>35244</v>
      </c>
      <c r="L64" s="52" t="s">
        <v>4</v>
      </c>
      <c r="M64" s="53">
        <f>ROUNDDOWN(K64/12,0)</f>
        <v>2937</v>
      </c>
      <c r="N64" s="54" t="s">
        <v>4</v>
      </c>
      <c r="O64" s="1"/>
      <c r="P64" s="1"/>
      <c r="Q64" s="1"/>
    </row>
    <row r="65" spans="1:14" ht="15.75" thickBot="1">
      <c r="A65" s="1"/>
      <c r="B65" s="1"/>
      <c r="C65" s="1"/>
      <c r="D65" s="1"/>
      <c r="E65" s="1"/>
      <c r="F65" s="1"/>
      <c r="G65" s="1"/>
      <c r="H65" s="1"/>
      <c r="I65" s="1"/>
      <c r="J65" s="1"/>
      <c r="K65" s="229" t="s">
        <v>36</v>
      </c>
      <c r="L65" s="230"/>
      <c r="M65" s="230"/>
      <c r="N65" s="231"/>
    </row>
    <row r="66" spans="1:14" ht="15.75" thickTop="1">
      <c r="A66" s="1"/>
      <c r="B66" s="1"/>
      <c r="C66" s="1"/>
      <c r="D66" s="1"/>
      <c r="E66" s="1"/>
      <c r="F66" s="1"/>
      <c r="G66" s="1"/>
      <c r="H66" s="1"/>
      <c r="I66" s="1"/>
      <c r="J66" s="1"/>
      <c r="K66" s="39" t="s">
        <v>8</v>
      </c>
      <c r="L66" s="40"/>
      <c r="M66" s="38" t="s">
        <v>9</v>
      </c>
      <c r="N66" s="41"/>
    </row>
    <row r="67" spans="1:14" ht="15.75" thickBot="1">
      <c r="A67" s="1"/>
      <c r="B67" s="1"/>
      <c r="C67" s="1"/>
      <c r="D67" s="1"/>
      <c r="E67" s="1"/>
      <c r="F67" s="1"/>
      <c r="G67" s="1"/>
      <c r="H67" s="1"/>
      <c r="I67" s="1"/>
      <c r="J67" s="1"/>
      <c r="K67" s="46">
        <f>K64+K61</f>
        <v>43767</v>
      </c>
      <c r="L67" s="47" t="s">
        <v>4</v>
      </c>
      <c r="M67" s="48">
        <f>ROUNDDOWN(K67/12,0)</f>
        <v>3647</v>
      </c>
      <c r="N67" s="49" t="s">
        <v>4</v>
      </c>
    </row>
    <row r="75" spans="1:14" ht="15.75" thickBot="1">
      <c r="A75" s="32" t="s">
        <v>18</v>
      </c>
      <c r="B75" s="1"/>
      <c r="C75" s="1"/>
      <c r="D75" s="1"/>
      <c r="E75" s="1"/>
      <c r="F75" s="1"/>
      <c r="G75" s="1"/>
      <c r="H75" s="1"/>
      <c r="I75" s="1"/>
      <c r="J75" s="1"/>
      <c r="K75" s="1"/>
      <c r="L75" s="1"/>
      <c r="M75" s="1"/>
      <c r="N75" s="1"/>
    </row>
    <row r="76" spans="1:14" ht="15.75" thickBot="1">
      <c r="A76" s="3" t="s">
        <v>1</v>
      </c>
      <c r="B76" s="4"/>
      <c r="C76" s="5"/>
      <c r="D76" s="6"/>
      <c r="E76" s="1"/>
      <c r="F76" s="1"/>
      <c r="G76" s="1"/>
      <c r="H76" s="1"/>
      <c r="I76" s="33"/>
      <c r="J76" s="33"/>
      <c r="K76" s="243" t="s">
        <v>5</v>
      </c>
      <c r="L76" s="244"/>
      <c r="M76" s="244"/>
      <c r="N76" s="245"/>
    </row>
    <row r="77" spans="1:14" ht="15.75" thickTop="1">
      <c r="A77" s="11" t="s">
        <v>6</v>
      </c>
      <c r="B77" s="12"/>
      <c r="C77" s="13">
        <f>C4*0.3</f>
        <v>7632</v>
      </c>
      <c r="D77" s="14" t="s">
        <v>4</v>
      </c>
      <c r="E77" s="66">
        <v>1</v>
      </c>
      <c r="F77" s="59" t="s">
        <v>7</v>
      </c>
      <c r="G77" s="60">
        <f>ROUNDDOWN(C77*E77,0)</f>
        <v>7632</v>
      </c>
      <c r="H77" s="59" t="s">
        <v>4</v>
      </c>
      <c r="I77" s="239">
        <f>G77+G78</f>
        <v>14184</v>
      </c>
      <c r="J77" s="231" t="s">
        <v>4</v>
      </c>
      <c r="K77" s="34" t="s">
        <v>8</v>
      </c>
      <c r="L77" s="35"/>
      <c r="M77" s="36" t="s">
        <v>9</v>
      </c>
      <c r="N77" s="37"/>
    </row>
    <row r="78" spans="1:14" ht="15.75" thickBot="1">
      <c r="A78" s="15" t="s">
        <v>10</v>
      </c>
      <c r="B78" s="16"/>
      <c r="C78" s="17">
        <f>C5*0.3</f>
        <v>6552</v>
      </c>
      <c r="D78" s="18" t="s">
        <v>4</v>
      </c>
      <c r="E78" s="50"/>
      <c r="F78" s="12"/>
      <c r="G78" s="13">
        <f>C78</f>
        <v>6552</v>
      </c>
      <c r="H78" s="12" t="s">
        <v>4</v>
      </c>
      <c r="I78" s="234"/>
      <c r="J78" s="236"/>
      <c r="K78" s="42">
        <f>IF(I77&gt;=$Q$3,$Q$3,I77)</f>
        <v>14184</v>
      </c>
      <c r="L78" s="43" t="s">
        <v>4</v>
      </c>
      <c r="M78" s="44">
        <f>ROUNDDOWN(K78/12,0)</f>
        <v>1182</v>
      </c>
      <c r="N78" s="45" t="s">
        <v>4</v>
      </c>
    </row>
    <row r="79" spans="1:14" ht="15">
      <c r="A79" s="3" t="s">
        <v>30</v>
      </c>
      <c r="B79" s="4"/>
      <c r="C79" s="5"/>
      <c r="D79" s="6"/>
      <c r="E79" s="61"/>
      <c r="F79" s="35"/>
      <c r="G79" s="62"/>
      <c r="H79" s="35"/>
      <c r="I79" s="64"/>
      <c r="J79" s="65"/>
      <c r="K79" s="229" t="s">
        <v>35</v>
      </c>
      <c r="L79" s="230"/>
      <c r="M79" s="230"/>
      <c r="N79" s="231"/>
    </row>
    <row r="80" spans="1:14" ht="15">
      <c r="A80" s="11" t="s">
        <v>6</v>
      </c>
      <c r="B80" s="12"/>
      <c r="C80" s="74">
        <f>C8*0.3</f>
        <v>3240</v>
      </c>
      <c r="D80" s="14" t="s">
        <v>4</v>
      </c>
      <c r="E80" s="68">
        <f>E77</f>
        <v>1</v>
      </c>
      <c r="F80" s="12" t="s">
        <v>7</v>
      </c>
      <c r="G80" s="73">
        <f>ROUNDDOWN(C80*E80,0)</f>
        <v>3240</v>
      </c>
      <c r="H80" s="12" t="s">
        <v>4</v>
      </c>
      <c r="I80" s="232">
        <f>G80+G81</f>
        <v>5976</v>
      </c>
      <c r="J80" s="235" t="s">
        <v>4</v>
      </c>
      <c r="K80" s="34" t="s">
        <v>8</v>
      </c>
      <c r="L80" s="35"/>
      <c r="M80" s="36" t="s">
        <v>9</v>
      </c>
      <c r="N80" s="37"/>
    </row>
    <row r="81" spans="1:14" ht="15.75" thickBot="1">
      <c r="A81" s="15" t="s">
        <v>10</v>
      </c>
      <c r="B81" s="16"/>
      <c r="C81" s="17">
        <f>C9*0.3</f>
        <v>2736</v>
      </c>
      <c r="D81" s="18" t="s">
        <v>4</v>
      </c>
      <c r="E81" s="50"/>
      <c r="F81" s="12"/>
      <c r="G81" s="13">
        <f>C81</f>
        <v>2736</v>
      </c>
      <c r="H81" s="12" t="s">
        <v>4</v>
      </c>
      <c r="I81" s="234"/>
      <c r="J81" s="236"/>
      <c r="K81" s="42">
        <f>IF(I80&gt;=$Q$4,$Q$4,I80)</f>
        <v>5976</v>
      </c>
      <c r="L81" s="43" t="s">
        <v>4</v>
      </c>
      <c r="M81" s="44">
        <f>ROUNDDOWN(K81/12,0)</f>
        <v>498</v>
      </c>
      <c r="N81" s="45" t="s">
        <v>4</v>
      </c>
    </row>
    <row r="82" spans="1:14" ht="15.75" thickBot="1">
      <c r="A82" s="20" t="s">
        <v>13</v>
      </c>
      <c r="B82" s="21"/>
      <c r="C82" s="22"/>
      <c r="D82" s="23"/>
      <c r="E82" s="61"/>
      <c r="F82" s="35"/>
      <c r="G82" s="62"/>
      <c r="H82" s="35"/>
      <c r="I82" s="64"/>
      <c r="J82" s="65"/>
      <c r="K82" s="243" t="s">
        <v>14</v>
      </c>
      <c r="L82" s="244"/>
      <c r="M82" s="244"/>
      <c r="N82" s="245"/>
    </row>
    <row r="83" spans="1:14" ht="15.75" thickTop="1">
      <c r="A83" s="11" t="s">
        <v>6</v>
      </c>
      <c r="B83" s="12"/>
      <c r="C83" s="74">
        <f>C12*0.3</f>
        <v>3096</v>
      </c>
      <c r="D83" s="14" t="s">
        <v>4</v>
      </c>
      <c r="E83" s="67">
        <v>1</v>
      </c>
      <c r="F83" s="12" t="s">
        <v>7</v>
      </c>
      <c r="G83" s="13">
        <f>ROUNDDOWN(C83*E83,0)</f>
        <v>3096</v>
      </c>
      <c r="H83" s="12" t="s">
        <v>4</v>
      </c>
      <c r="I83" s="232">
        <f>G83+G84</f>
        <v>4896</v>
      </c>
      <c r="J83" s="235" t="s">
        <v>4</v>
      </c>
      <c r="K83" s="34" t="s">
        <v>8</v>
      </c>
      <c r="L83" s="35"/>
      <c r="M83" s="36" t="s">
        <v>9</v>
      </c>
      <c r="N83" s="37"/>
    </row>
    <row r="84" spans="1:14" ht="15.75" thickBot="1">
      <c r="A84" s="28" t="s">
        <v>10</v>
      </c>
      <c r="B84" s="29"/>
      <c r="C84" s="75">
        <f>C13*0.3</f>
        <v>1800</v>
      </c>
      <c r="D84" s="31" t="s">
        <v>4</v>
      </c>
      <c r="E84" s="63"/>
      <c r="F84" s="29"/>
      <c r="G84" s="30">
        <f>C84</f>
        <v>1800</v>
      </c>
      <c r="H84" s="29" t="s">
        <v>4</v>
      </c>
      <c r="I84" s="237"/>
      <c r="J84" s="238"/>
      <c r="K84" s="77">
        <f>IF(I83&gt;=$Q$5,$Q$5,I83)</f>
        <v>4896</v>
      </c>
      <c r="L84" s="78" t="s">
        <v>4</v>
      </c>
      <c r="M84" s="79">
        <f>ROUNDDOWN(K84/12,0)</f>
        <v>408</v>
      </c>
      <c r="N84" s="80" t="s">
        <v>4</v>
      </c>
    </row>
    <row r="85" spans="1:14" ht="15.75" thickBot="1">
      <c r="A85" s="1"/>
      <c r="B85" s="1"/>
      <c r="C85" s="1"/>
      <c r="D85" s="1"/>
      <c r="E85" s="1"/>
      <c r="F85" s="1"/>
      <c r="G85" s="1"/>
      <c r="H85" s="1"/>
      <c r="I85" s="1"/>
      <c r="J85" s="1"/>
      <c r="K85" s="243" t="s">
        <v>15</v>
      </c>
      <c r="L85" s="244"/>
      <c r="M85" s="244"/>
      <c r="N85" s="245"/>
    </row>
    <row r="86" spans="1:14" ht="15.75" thickTop="1">
      <c r="A86" s="1"/>
      <c r="B86" s="1"/>
      <c r="C86" s="1"/>
      <c r="D86" s="1"/>
      <c r="E86" s="1"/>
      <c r="F86" s="1"/>
      <c r="G86" s="1"/>
      <c r="H86" s="1"/>
      <c r="I86" s="1"/>
      <c r="J86" s="1"/>
      <c r="K86" s="39" t="s">
        <v>8</v>
      </c>
      <c r="L86" s="40"/>
      <c r="M86" s="38" t="s">
        <v>9</v>
      </c>
      <c r="N86" s="41"/>
    </row>
    <row r="87" spans="1:14" ht="15.75" thickBot="1">
      <c r="A87" s="1"/>
      <c r="B87" s="1"/>
      <c r="C87" s="1"/>
      <c r="D87" s="1"/>
      <c r="E87" s="1"/>
      <c r="F87" s="1"/>
      <c r="G87" s="1"/>
      <c r="H87" s="1"/>
      <c r="I87" s="1"/>
      <c r="J87" s="1"/>
      <c r="K87" s="51">
        <f>K78+K81</f>
        <v>20160</v>
      </c>
      <c r="L87" s="52" t="s">
        <v>4</v>
      </c>
      <c r="M87" s="53">
        <f>ROUNDDOWN(K87/12,0)</f>
        <v>1680</v>
      </c>
      <c r="N87" s="54" t="s">
        <v>4</v>
      </c>
    </row>
    <row r="88" spans="1:14" ht="15.75" thickBot="1">
      <c r="A88" s="1"/>
      <c r="B88" s="1"/>
      <c r="C88" s="1"/>
      <c r="D88" s="1"/>
      <c r="E88" s="1"/>
      <c r="F88" s="1"/>
      <c r="G88" s="1"/>
      <c r="H88" s="1"/>
      <c r="I88" s="1"/>
      <c r="J88" s="1"/>
      <c r="K88" s="229" t="s">
        <v>36</v>
      </c>
      <c r="L88" s="230"/>
      <c r="M88" s="230"/>
      <c r="N88" s="231"/>
    </row>
    <row r="89" spans="1:14" ht="15.75" thickTop="1">
      <c r="A89" s="1"/>
      <c r="B89" s="1"/>
      <c r="C89" s="1"/>
      <c r="D89" s="1"/>
      <c r="E89" s="1"/>
      <c r="F89" s="1"/>
      <c r="G89" s="1"/>
      <c r="H89" s="1"/>
      <c r="I89" s="1"/>
      <c r="J89" s="1"/>
      <c r="K89" s="39" t="s">
        <v>8</v>
      </c>
      <c r="L89" s="40"/>
      <c r="M89" s="38" t="s">
        <v>9</v>
      </c>
      <c r="N89" s="41"/>
    </row>
    <row r="90" spans="1:14" ht="15.75" thickBot="1">
      <c r="A90" s="1"/>
      <c r="B90" s="1"/>
      <c r="C90" s="1"/>
      <c r="D90" s="1"/>
      <c r="E90" s="1"/>
      <c r="F90" s="1"/>
      <c r="G90" s="1"/>
      <c r="H90" s="1"/>
      <c r="I90" s="1"/>
      <c r="J90" s="1"/>
      <c r="K90" s="46">
        <f>K78+K81+K84</f>
        <v>25056</v>
      </c>
      <c r="L90" s="47" t="s">
        <v>4</v>
      </c>
      <c r="M90" s="48">
        <f>ROUNDDOWN(K90/12,0)</f>
        <v>2088</v>
      </c>
      <c r="N90" s="49" t="s">
        <v>4</v>
      </c>
    </row>
  </sheetData>
  <sheetProtection sheet="1" objects="1" scenarios="1" selectLockedCells="1"/>
  <protectedRanges>
    <protectedRange sqref="E83" name="範囲8"/>
    <protectedRange sqref="E77" name="範囲7"/>
    <protectedRange sqref="E59:E60" name="範囲6"/>
    <protectedRange sqref="E51:E52" name="範囲5"/>
    <protectedRange sqref="E37:E38" name="範囲4"/>
    <protectedRange sqref="E29:E30" name="範囲3"/>
    <protectedRange sqref="E11:E12" name="範囲2"/>
    <protectedRange sqref="E3:E4" name="範囲1"/>
  </protectedRanges>
  <mergeCells count="44">
    <mergeCell ref="I83:I84"/>
    <mergeCell ref="J83:J84"/>
    <mergeCell ref="K85:N85"/>
    <mergeCell ref="K88:N88"/>
    <mergeCell ref="I77:I78"/>
    <mergeCell ref="J77:J78"/>
    <mergeCell ref="K79:N79"/>
    <mergeCell ref="I80:I81"/>
    <mergeCell ref="J80:J81"/>
    <mergeCell ref="K82:N82"/>
    <mergeCell ref="K76:N76"/>
    <mergeCell ref="K40:N40"/>
    <mergeCell ref="K43:N43"/>
    <mergeCell ref="I51:I53"/>
    <mergeCell ref="J51:J53"/>
    <mergeCell ref="K51:N51"/>
    <mergeCell ref="I55:I57"/>
    <mergeCell ref="J55:J57"/>
    <mergeCell ref="K55:N55"/>
    <mergeCell ref="I59:I61"/>
    <mergeCell ref="J59:J61"/>
    <mergeCell ref="K59:N59"/>
    <mergeCell ref="K62:N62"/>
    <mergeCell ref="K65:N65"/>
    <mergeCell ref="I33:I35"/>
    <mergeCell ref="J33:J35"/>
    <mergeCell ref="K33:N33"/>
    <mergeCell ref="I37:I39"/>
    <mergeCell ref="J37:J39"/>
    <mergeCell ref="K37:N37"/>
    <mergeCell ref="I29:I31"/>
    <mergeCell ref="J29:J31"/>
    <mergeCell ref="K29:N29"/>
    <mergeCell ref="I3:I5"/>
    <mergeCell ref="J3:J5"/>
    <mergeCell ref="K3:N3"/>
    <mergeCell ref="I7:I9"/>
    <mergeCell ref="J7:J9"/>
    <mergeCell ref="K7:N7"/>
    <mergeCell ref="I11:I13"/>
    <mergeCell ref="J11:J13"/>
    <mergeCell ref="K11:N11"/>
    <mergeCell ref="K14:N14"/>
    <mergeCell ref="K17:N17"/>
  </mergeCells>
  <phoneticPr fontId="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codeName="Sheet4"/>
  <dimension ref="A1:Q90"/>
  <sheetViews>
    <sheetView workbookViewId="0">
      <selection activeCell="E51" sqref="E51"/>
    </sheetView>
  </sheetViews>
  <sheetFormatPr defaultRowHeight="13.5"/>
  <cols>
    <col min="2" max="2" width="4" customWidth="1"/>
    <col min="4" max="4" width="4" bestFit="1" customWidth="1"/>
    <col min="5" max="5" width="12" bestFit="1" customWidth="1"/>
    <col min="6" max="6" width="4" bestFit="1" customWidth="1"/>
    <col min="8" max="8" width="4" bestFit="1" customWidth="1"/>
    <col min="10" max="10" width="4" bestFit="1" customWidth="1"/>
    <col min="12" max="12" width="4" bestFit="1" customWidth="1"/>
    <col min="14" max="14" width="4" bestFit="1" customWidth="1"/>
  </cols>
  <sheetData>
    <row r="1" spans="1:14" ht="15.75" thickBot="1">
      <c r="A1" s="32" t="s">
        <v>0</v>
      </c>
      <c r="B1" s="1"/>
      <c r="C1" s="1"/>
      <c r="D1" s="1"/>
      <c r="E1" s="1"/>
      <c r="F1" s="1"/>
      <c r="G1" s="1"/>
      <c r="H1" s="1"/>
      <c r="I1" s="1"/>
      <c r="J1" s="1"/>
      <c r="K1" s="1"/>
      <c r="L1" s="1"/>
      <c r="M1" s="1"/>
      <c r="N1" s="1"/>
    </row>
    <row r="2" spans="1:14" ht="15.75" thickBot="1">
      <c r="A2" s="3" t="s">
        <v>1</v>
      </c>
      <c r="B2" s="4"/>
      <c r="C2" s="5"/>
      <c r="D2" s="6"/>
      <c r="E2" s="1"/>
      <c r="F2" s="1"/>
      <c r="G2" s="1"/>
      <c r="H2" s="1"/>
      <c r="I2" s="1"/>
      <c r="J2" s="1"/>
      <c r="K2" s="55"/>
      <c r="L2" s="1"/>
      <c r="M2" s="1"/>
      <c r="N2" s="1"/>
    </row>
    <row r="3" spans="1:14" ht="16.5" thickTop="1" thickBot="1">
      <c r="A3" s="7" t="s">
        <v>2</v>
      </c>
      <c r="B3" s="8"/>
      <c r="C3" s="9">
        <v>8.27</v>
      </c>
      <c r="D3" s="10" t="s">
        <v>3</v>
      </c>
      <c r="E3" s="66">
        <v>409002</v>
      </c>
      <c r="F3" s="69" t="s">
        <v>4</v>
      </c>
      <c r="G3" s="60">
        <f>ROUNDDOWN((C3*E3)/100,0)</f>
        <v>33824</v>
      </c>
      <c r="H3" s="59" t="s">
        <v>4</v>
      </c>
      <c r="I3" s="239">
        <f>G3+G4+G5</f>
        <v>79664</v>
      </c>
      <c r="J3" s="231" t="s">
        <v>4</v>
      </c>
      <c r="K3" s="229" t="s">
        <v>5</v>
      </c>
      <c r="L3" s="230"/>
      <c r="M3" s="230"/>
      <c r="N3" s="231"/>
    </row>
    <row r="4" spans="1:14" ht="15.75" thickTop="1">
      <c r="A4" s="11" t="s">
        <v>6</v>
      </c>
      <c r="B4" s="12"/>
      <c r="C4" s="13">
        <v>24480</v>
      </c>
      <c r="D4" s="14" t="s">
        <v>4</v>
      </c>
      <c r="E4" s="67">
        <v>1</v>
      </c>
      <c r="F4" s="70" t="s">
        <v>7</v>
      </c>
      <c r="G4" s="13">
        <f>ROUNDDOWN(C4*E4,0)</f>
        <v>24480</v>
      </c>
      <c r="H4" s="12" t="s">
        <v>4</v>
      </c>
      <c r="I4" s="233"/>
      <c r="J4" s="228"/>
      <c r="K4" s="39" t="s">
        <v>8</v>
      </c>
      <c r="L4" s="40"/>
      <c r="M4" s="38" t="s">
        <v>9</v>
      </c>
      <c r="N4" s="41"/>
    </row>
    <row r="5" spans="1:14" ht="15.75" thickBot="1">
      <c r="A5" s="15" t="s">
        <v>10</v>
      </c>
      <c r="B5" s="16"/>
      <c r="C5" s="17">
        <v>21360</v>
      </c>
      <c r="D5" s="18" t="s">
        <v>4</v>
      </c>
      <c r="E5" s="50"/>
      <c r="F5" s="70"/>
      <c r="G5" s="13">
        <f>C5</f>
        <v>21360</v>
      </c>
      <c r="H5" s="12" t="s">
        <v>4</v>
      </c>
      <c r="I5" s="234"/>
      <c r="J5" s="236"/>
      <c r="K5" s="42">
        <f>I3</f>
        <v>79664</v>
      </c>
      <c r="L5" s="43" t="s">
        <v>4</v>
      </c>
      <c r="M5" s="44">
        <f>ROUNDDOWN(K5/12,0)</f>
        <v>6638</v>
      </c>
      <c r="N5" s="45" t="s">
        <v>4</v>
      </c>
    </row>
    <row r="6" spans="1:14" ht="15.75" thickBot="1">
      <c r="A6" s="3" t="s">
        <v>11</v>
      </c>
      <c r="B6" s="4"/>
      <c r="C6" s="5"/>
      <c r="D6" s="6"/>
      <c r="E6" s="61"/>
      <c r="F6" s="71"/>
      <c r="G6" s="62"/>
      <c r="H6" s="35"/>
      <c r="I6" s="35"/>
      <c r="J6" s="35"/>
      <c r="K6" s="35"/>
      <c r="L6" s="35"/>
      <c r="M6" s="35"/>
      <c r="N6" s="37"/>
    </row>
    <row r="7" spans="1:14" ht="16.5" thickTop="1" thickBot="1">
      <c r="A7" s="7" t="s">
        <v>2</v>
      </c>
      <c r="B7" s="8"/>
      <c r="C7" s="9">
        <v>3.61</v>
      </c>
      <c r="D7" s="10" t="s">
        <v>3</v>
      </c>
      <c r="E7" s="68">
        <f>E3</f>
        <v>409002</v>
      </c>
      <c r="F7" s="70" t="s">
        <v>4</v>
      </c>
      <c r="G7" s="13">
        <f>ROUNDDOWN((C7*E7)/100,0)</f>
        <v>14764</v>
      </c>
      <c r="H7" s="12" t="s">
        <v>19</v>
      </c>
      <c r="I7" s="232">
        <f>G7+G8+G9</f>
        <v>33244</v>
      </c>
      <c r="J7" s="235" t="s">
        <v>4</v>
      </c>
      <c r="K7" s="229" t="s">
        <v>12</v>
      </c>
      <c r="L7" s="230"/>
      <c r="M7" s="230"/>
      <c r="N7" s="231"/>
    </row>
    <row r="8" spans="1:14" ht="15.75" thickTop="1">
      <c r="A8" s="11" t="s">
        <v>6</v>
      </c>
      <c r="B8" s="12"/>
      <c r="C8" s="13">
        <v>9840</v>
      </c>
      <c r="D8" s="14" t="s">
        <v>4</v>
      </c>
      <c r="E8" s="68">
        <f>E4</f>
        <v>1</v>
      </c>
      <c r="F8" s="70" t="s">
        <v>7</v>
      </c>
      <c r="G8" s="13">
        <f>ROUNDDOWN(C8*E8,0)</f>
        <v>9840</v>
      </c>
      <c r="H8" s="12" t="s">
        <v>19</v>
      </c>
      <c r="I8" s="233"/>
      <c r="J8" s="228"/>
      <c r="K8" s="39" t="s">
        <v>8</v>
      </c>
      <c r="L8" s="40"/>
      <c r="M8" s="38" t="s">
        <v>9</v>
      </c>
      <c r="N8" s="41"/>
    </row>
    <row r="9" spans="1:14" ht="15.75" thickBot="1">
      <c r="A9" s="15" t="s">
        <v>10</v>
      </c>
      <c r="B9" s="16"/>
      <c r="C9" s="17">
        <v>8640</v>
      </c>
      <c r="D9" s="18" t="s">
        <v>4</v>
      </c>
      <c r="E9" s="76"/>
      <c r="F9" s="70"/>
      <c r="G9" s="13">
        <f>C9</f>
        <v>8640</v>
      </c>
      <c r="H9" s="12" t="s">
        <v>19</v>
      </c>
      <c r="I9" s="234"/>
      <c r="J9" s="236"/>
      <c r="K9" s="42">
        <f>I7</f>
        <v>33244</v>
      </c>
      <c r="L9" s="43" t="s">
        <v>4</v>
      </c>
      <c r="M9" s="44">
        <f>ROUNDDOWN(K9/12,0)</f>
        <v>2770</v>
      </c>
      <c r="N9" s="45" t="s">
        <v>4</v>
      </c>
    </row>
    <row r="10" spans="1:14" ht="15.75" thickBot="1">
      <c r="A10" s="20" t="s">
        <v>13</v>
      </c>
      <c r="B10" s="21"/>
      <c r="C10" s="22"/>
      <c r="D10" s="23"/>
      <c r="E10" s="61"/>
      <c r="F10" s="71"/>
      <c r="G10" s="62"/>
      <c r="H10" s="35"/>
      <c r="I10" s="35"/>
      <c r="J10" s="35"/>
      <c r="K10" s="35"/>
      <c r="L10" s="35"/>
      <c r="M10" s="35"/>
      <c r="N10" s="37"/>
    </row>
    <row r="11" spans="1:14" ht="16.5" thickTop="1" thickBot="1">
      <c r="A11" s="24" t="s">
        <v>2</v>
      </c>
      <c r="B11" s="25"/>
      <c r="C11" s="26">
        <v>3.59</v>
      </c>
      <c r="D11" s="27" t="s">
        <v>3</v>
      </c>
      <c r="E11" s="66">
        <v>2000000</v>
      </c>
      <c r="F11" s="70" t="s">
        <v>4</v>
      </c>
      <c r="G11" s="13">
        <f>ROUNDDOWN((C11*E11)/100,0)</f>
        <v>71800</v>
      </c>
      <c r="H11" s="12" t="s">
        <v>19</v>
      </c>
      <c r="I11" s="240">
        <f>G11+G12+G13</f>
        <v>101800</v>
      </c>
      <c r="J11" s="235" t="s">
        <v>4</v>
      </c>
      <c r="K11" s="229" t="s">
        <v>14</v>
      </c>
      <c r="L11" s="230"/>
      <c r="M11" s="230"/>
      <c r="N11" s="231"/>
    </row>
    <row r="12" spans="1:14" ht="15.75" thickTop="1">
      <c r="A12" s="11" t="s">
        <v>6</v>
      </c>
      <c r="B12" s="12"/>
      <c r="C12" s="13">
        <v>11520</v>
      </c>
      <c r="D12" s="14" t="s">
        <v>4</v>
      </c>
      <c r="E12" s="67">
        <v>2</v>
      </c>
      <c r="F12" s="70" t="s">
        <v>7</v>
      </c>
      <c r="G12" s="13">
        <f>ROUNDDOWN(C12*E12,0)</f>
        <v>23040</v>
      </c>
      <c r="H12" s="12" t="s">
        <v>19</v>
      </c>
      <c r="I12" s="241"/>
      <c r="J12" s="228"/>
      <c r="K12" s="39" t="s">
        <v>8</v>
      </c>
      <c r="L12" s="40"/>
      <c r="M12" s="38" t="s">
        <v>9</v>
      </c>
      <c r="N12" s="41"/>
    </row>
    <row r="13" spans="1:14" ht="15.75" thickBot="1">
      <c r="A13" s="28" t="s">
        <v>10</v>
      </c>
      <c r="B13" s="29"/>
      <c r="C13" s="30">
        <v>6960</v>
      </c>
      <c r="D13" s="31" t="s">
        <v>4</v>
      </c>
      <c r="E13" s="63"/>
      <c r="F13" s="72"/>
      <c r="G13" s="30">
        <f>C13</f>
        <v>6960</v>
      </c>
      <c r="H13" s="29" t="s">
        <v>19</v>
      </c>
      <c r="I13" s="242"/>
      <c r="J13" s="238"/>
      <c r="K13" s="42">
        <f>I11</f>
        <v>101800</v>
      </c>
      <c r="L13" s="43" t="s">
        <v>4</v>
      </c>
      <c r="M13" s="44">
        <f>ROUNDDOWN(K13/12,0)</f>
        <v>8483</v>
      </c>
      <c r="N13" s="45" t="s">
        <v>4</v>
      </c>
    </row>
    <row r="14" spans="1:14" ht="15.75" thickBot="1">
      <c r="A14" s="1"/>
      <c r="B14" s="1"/>
      <c r="C14" s="1"/>
      <c r="D14" s="1"/>
      <c r="E14" s="1"/>
      <c r="F14" s="1"/>
      <c r="G14" s="1"/>
      <c r="H14" s="1"/>
      <c r="I14" s="1"/>
      <c r="J14" s="1"/>
      <c r="K14" s="226" t="s">
        <v>15</v>
      </c>
      <c r="L14" s="227"/>
      <c r="M14" s="227"/>
      <c r="N14" s="228"/>
    </row>
    <row r="15" spans="1:14" ht="15.75" thickTop="1">
      <c r="A15" s="1"/>
      <c r="B15" s="1"/>
      <c r="C15" s="1"/>
      <c r="D15" s="1"/>
      <c r="E15" s="1"/>
      <c r="F15" s="1" t="s">
        <v>20</v>
      </c>
      <c r="G15" s="1"/>
      <c r="H15" s="1"/>
      <c r="I15" s="1"/>
      <c r="J15" s="1"/>
      <c r="K15" s="39" t="s">
        <v>8</v>
      </c>
      <c r="L15" s="40"/>
      <c r="M15" s="38" t="s">
        <v>9</v>
      </c>
      <c r="N15" s="41"/>
    </row>
    <row r="16" spans="1:14" ht="15.75" thickBot="1">
      <c r="A16" s="1"/>
      <c r="B16" s="1"/>
      <c r="C16" s="1"/>
      <c r="D16" s="1"/>
      <c r="E16" s="1"/>
      <c r="F16" s="1" t="s">
        <v>23</v>
      </c>
      <c r="G16" s="1"/>
      <c r="H16" s="1"/>
      <c r="I16" s="1"/>
      <c r="J16" s="1"/>
      <c r="K16" s="51">
        <f>K5+K9</f>
        <v>112908</v>
      </c>
      <c r="L16" s="52" t="s">
        <v>4</v>
      </c>
      <c r="M16" s="53">
        <f>ROUNDDOWN(K16/12,0)</f>
        <v>9409</v>
      </c>
      <c r="N16" s="54" t="s">
        <v>4</v>
      </c>
    </row>
    <row r="17" spans="1:14" ht="15.75" thickBot="1">
      <c r="A17" s="1"/>
      <c r="B17" s="1"/>
      <c r="C17" s="1"/>
      <c r="D17" s="1"/>
      <c r="E17" s="1"/>
      <c r="F17" s="1" t="s">
        <v>24</v>
      </c>
      <c r="G17" s="1"/>
      <c r="H17" s="1"/>
      <c r="I17" s="1"/>
      <c r="J17" s="1"/>
      <c r="K17" s="229" t="s">
        <v>14</v>
      </c>
      <c r="L17" s="230"/>
      <c r="M17" s="230"/>
      <c r="N17" s="231"/>
    </row>
    <row r="18" spans="1:14" ht="15.75" thickTop="1">
      <c r="A18" s="1"/>
      <c r="B18" s="1"/>
      <c r="C18" s="1"/>
      <c r="D18" s="1"/>
      <c r="E18" s="1"/>
      <c r="F18" s="1"/>
      <c r="G18" s="1"/>
      <c r="H18" s="1"/>
      <c r="I18" s="1"/>
      <c r="J18" s="1"/>
      <c r="K18" s="39" t="s">
        <v>8</v>
      </c>
      <c r="L18" s="40"/>
      <c r="M18" s="38" t="s">
        <v>9</v>
      </c>
      <c r="N18" s="41"/>
    </row>
    <row r="19" spans="1:14" ht="15.75" thickBot="1">
      <c r="A19" s="1"/>
      <c r="B19" s="1"/>
      <c r="C19" s="1"/>
      <c r="D19" s="1"/>
      <c r="E19" s="1"/>
      <c r="F19" s="1"/>
      <c r="G19" s="1"/>
      <c r="H19" s="1"/>
      <c r="I19" s="1"/>
      <c r="J19" s="1"/>
      <c r="K19" s="46">
        <f>K16+K13</f>
        <v>214708</v>
      </c>
      <c r="L19" s="47" t="s">
        <v>4</v>
      </c>
      <c r="M19" s="48">
        <f>ROUNDDOWN(K19/12,0)</f>
        <v>17892</v>
      </c>
      <c r="N19" s="49" t="s">
        <v>4</v>
      </c>
    </row>
    <row r="20" spans="1:14" ht="15">
      <c r="A20" s="1"/>
      <c r="B20" s="1"/>
      <c r="C20" s="1"/>
      <c r="D20" s="1"/>
      <c r="E20" s="1"/>
      <c r="F20" s="1"/>
      <c r="G20" s="1"/>
      <c r="H20" s="1"/>
      <c r="I20" s="1"/>
      <c r="J20" s="1"/>
      <c r="K20" s="56"/>
      <c r="L20" s="57"/>
      <c r="M20" s="58"/>
      <c r="N20" s="57"/>
    </row>
    <row r="21" spans="1:14" ht="15">
      <c r="A21" s="1"/>
      <c r="B21" s="1"/>
      <c r="C21" s="1"/>
      <c r="D21" s="1"/>
      <c r="E21" s="1"/>
      <c r="F21" s="1"/>
      <c r="G21" s="1"/>
      <c r="H21" s="1"/>
      <c r="I21" s="1"/>
      <c r="J21" s="1"/>
      <c r="K21" s="56"/>
      <c r="L21" s="57"/>
      <c r="M21" s="58"/>
      <c r="N21" s="57"/>
    </row>
    <row r="22" spans="1:14" ht="15">
      <c r="A22" s="1"/>
      <c r="B22" s="1"/>
      <c r="C22" s="1"/>
      <c r="D22" s="1"/>
      <c r="E22" s="1"/>
      <c r="F22" s="1"/>
      <c r="G22" s="1"/>
      <c r="H22" s="1"/>
      <c r="I22" s="1"/>
      <c r="J22" s="1"/>
      <c r="K22" s="56"/>
      <c r="L22" s="57"/>
      <c r="M22" s="58"/>
      <c r="N22" s="57"/>
    </row>
    <row r="23" spans="1:14" ht="15">
      <c r="A23" s="1"/>
      <c r="B23" s="1"/>
      <c r="C23" s="1"/>
      <c r="D23" s="1"/>
      <c r="E23" s="1"/>
      <c r="F23" s="1"/>
      <c r="G23" s="1"/>
      <c r="H23" s="1"/>
      <c r="I23" s="1"/>
      <c r="J23" s="1"/>
      <c r="K23" s="56"/>
      <c r="L23" s="57"/>
      <c r="M23" s="58"/>
      <c r="N23" s="57"/>
    </row>
    <row r="24" spans="1:14" ht="15">
      <c r="A24" s="1"/>
      <c r="B24" s="1"/>
      <c r="C24" s="1"/>
      <c r="D24" s="1"/>
      <c r="E24" s="1"/>
      <c r="F24" s="1"/>
      <c r="G24" s="1"/>
      <c r="H24" s="1"/>
      <c r="I24" s="1"/>
      <c r="J24" s="1"/>
      <c r="K24" s="56"/>
      <c r="L24" s="57"/>
      <c r="M24" s="58"/>
      <c r="N24" s="57"/>
    </row>
    <row r="25" spans="1:14" ht="15">
      <c r="A25" s="1"/>
      <c r="B25" s="1"/>
      <c r="C25" s="1"/>
      <c r="D25" s="1"/>
      <c r="E25" s="1"/>
      <c r="F25" s="1"/>
      <c r="G25" s="1"/>
      <c r="H25" s="1"/>
      <c r="I25" s="1"/>
      <c r="J25" s="1"/>
      <c r="K25" s="56"/>
      <c r="L25" s="57"/>
      <c r="M25" s="58"/>
      <c r="N25" s="57"/>
    </row>
    <row r="27" spans="1:14" ht="15.75" thickBot="1">
      <c r="A27" s="32" t="s">
        <v>16</v>
      </c>
      <c r="B27" s="1"/>
      <c r="C27" s="1"/>
      <c r="D27" s="1"/>
      <c r="E27" s="1"/>
      <c r="F27" s="1"/>
      <c r="G27" s="1"/>
      <c r="H27" s="1"/>
      <c r="I27" s="1"/>
      <c r="J27" s="1"/>
      <c r="K27" s="1"/>
      <c r="L27" s="1"/>
      <c r="M27" s="1"/>
      <c r="N27" s="1"/>
    </row>
    <row r="28" spans="1:14" ht="15.75" thickBot="1">
      <c r="A28" s="3" t="s">
        <v>1</v>
      </c>
      <c r="B28" s="4"/>
      <c r="C28" s="5"/>
      <c r="D28" s="6"/>
      <c r="E28" s="1"/>
      <c r="F28" s="1"/>
      <c r="G28" s="1"/>
      <c r="H28" s="1"/>
      <c r="I28" s="1"/>
      <c r="J28" s="1"/>
      <c r="K28" s="55"/>
      <c r="L28" s="1"/>
      <c r="M28" s="1"/>
      <c r="N28" s="1"/>
    </row>
    <row r="29" spans="1:14" ht="16.5" thickTop="1" thickBot="1">
      <c r="A29" s="7" t="s">
        <v>2</v>
      </c>
      <c r="B29" s="8"/>
      <c r="C29" s="9">
        <f>C3</f>
        <v>8.27</v>
      </c>
      <c r="D29" s="10" t="s">
        <v>3</v>
      </c>
      <c r="E29" s="66">
        <v>1670000</v>
      </c>
      <c r="F29" s="69" t="s">
        <v>4</v>
      </c>
      <c r="G29" s="60">
        <f>ROUNDDOWN((C29*E29)/100,0)</f>
        <v>138109</v>
      </c>
      <c r="H29" s="59" t="s">
        <v>4</v>
      </c>
      <c r="I29" s="239">
        <f>G29+G30+G31</f>
        <v>233533</v>
      </c>
      <c r="J29" s="231" t="s">
        <v>4</v>
      </c>
      <c r="K29" s="229" t="s">
        <v>5</v>
      </c>
      <c r="L29" s="230"/>
      <c r="M29" s="230"/>
      <c r="N29" s="231"/>
    </row>
    <row r="30" spans="1:14" ht="15.75" thickTop="1">
      <c r="A30" s="11" t="s">
        <v>6</v>
      </c>
      <c r="B30" s="12"/>
      <c r="C30" s="13">
        <f>C4*0.8</f>
        <v>19584</v>
      </c>
      <c r="D30" s="14" t="s">
        <v>4</v>
      </c>
      <c r="E30" s="67">
        <v>4</v>
      </c>
      <c r="F30" s="70" t="s">
        <v>7</v>
      </c>
      <c r="G30" s="13">
        <f>ROUNDDOWN(C30*E30,0)</f>
        <v>78336</v>
      </c>
      <c r="H30" s="12" t="s">
        <v>4</v>
      </c>
      <c r="I30" s="233"/>
      <c r="J30" s="228"/>
      <c r="K30" s="39" t="s">
        <v>8</v>
      </c>
      <c r="L30" s="40"/>
      <c r="M30" s="38" t="s">
        <v>9</v>
      </c>
      <c r="N30" s="41"/>
    </row>
    <row r="31" spans="1:14" ht="15.75" thickBot="1">
      <c r="A31" s="15" t="s">
        <v>10</v>
      </c>
      <c r="B31" s="16"/>
      <c r="C31" s="17">
        <f>C5*0.8</f>
        <v>17088</v>
      </c>
      <c r="D31" s="18" t="s">
        <v>4</v>
      </c>
      <c r="E31" s="50"/>
      <c r="F31" s="70"/>
      <c r="G31" s="13">
        <f>C31</f>
        <v>17088</v>
      </c>
      <c r="H31" s="12" t="s">
        <v>4</v>
      </c>
      <c r="I31" s="234"/>
      <c r="J31" s="236"/>
      <c r="K31" s="42">
        <f>I29</f>
        <v>233533</v>
      </c>
      <c r="L31" s="43" t="s">
        <v>4</v>
      </c>
      <c r="M31" s="44">
        <f>ROUNDDOWN(K31/12,0)</f>
        <v>19461</v>
      </c>
      <c r="N31" s="45" t="s">
        <v>4</v>
      </c>
    </row>
    <row r="32" spans="1:14" ht="15.75" thickBot="1">
      <c r="A32" s="3" t="s">
        <v>11</v>
      </c>
      <c r="B32" s="4"/>
      <c r="C32" s="5"/>
      <c r="D32" s="6"/>
      <c r="E32" s="61"/>
      <c r="F32" s="71"/>
      <c r="G32" s="62"/>
      <c r="H32" s="35"/>
      <c r="I32" s="35"/>
      <c r="J32" s="35"/>
      <c r="K32" s="35"/>
      <c r="L32" s="35"/>
      <c r="M32" s="35"/>
      <c r="N32" s="37"/>
    </row>
    <row r="33" spans="1:14" ht="16.5" thickTop="1" thickBot="1">
      <c r="A33" s="7" t="s">
        <v>2</v>
      </c>
      <c r="B33" s="8"/>
      <c r="C33" s="9">
        <f>C7</f>
        <v>3.61</v>
      </c>
      <c r="D33" s="10" t="s">
        <v>3</v>
      </c>
      <c r="E33" s="68">
        <f>E29</f>
        <v>1670000</v>
      </c>
      <c r="F33" s="70" t="s">
        <v>4</v>
      </c>
      <c r="G33" s="13">
        <f>ROUNDDOWN((C33*E33)/100,0)</f>
        <v>60287</v>
      </c>
      <c r="H33" s="12" t="s">
        <v>19</v>
      </c>
      <c r="I33" s="232">
        <f>G33+G34+G35</f>
        <v>98687</v>
      </c>
      <c r="J33" s="235" t="s">
        <v>4</v>
      </c>
      <c r="K33" s="229" t="s">
        <v>12</v>
      </c>
      <c r="L33" s="230"/>
      <c r="M33" s="230"/>
      <c r="N33" s="231"/>
    </row>
    <row r="34" spans="1:14" ht="15.75" thickTop="1">
      <c r="A34" s="11" t="s">
        <v>6</v>
      </c>
      <c r="B34" s="12"/>
      <c r="C34" s="13">
        <f>C8*0.8</f>
        <v>7872</v>
      </c>
      <c r="D34" s="14" t="s">
        <v>4</v>
      </c>
      <c r="E34" s="68">
        <f>E30</f>
        <v>4</v>
      </c>
      <c r="F34" s="70" t="s">
        <v>7</v>
      </c>
      <c r="G34" s="13">
        <f>ROUNDDOWN(C34*E34,0)</f>
        <v>31488</v>
      </c>
      <c r="H34" s="12" t="s">
        <v>19</v>
      </c>
      <c r="I34" s="233"/>
      <c r="J34" s="228"/>
      <c r="K34" s="39" t="s">
        <v>8</v>
      </c>
      <c r="L34" s="40"/>
      <c r="M34" s="38" t="s">
        <v>9</v>
      </c>
      <c r="N34" s="41"/>
    </row>
    <row r="35" spans="1:14" ht="15.75" thickBot="1">
      <c r="A35" s="15" t="s">
        <v>10</v>
      </c>
      <c r="B35" s="16"/>
      <c r="C35" s="13">
        <f>C9*0.8</f>
        <v>6912</v>
      </c>
      <c r="D35" s="18" t="s">
        <v>4</v>
      </c>
      <c r="E35" s="50"/>
      <c r="F35" s="70"/>
      <c r="G35" s="13">
        <f>C35</f>
        <v>6912</v>
      </c>
      <c r="H35" s="12" t="s">
        <v>19</v>
      </c>
      <c r="I35" s="234"/>
      <c r="J35" s="236"/>
      <c r="K35" s="42">
        <f>I33</f>
        <v>98687</v>
      </c>
      <c r="L35" s="43" t="s">
        <v>4</v>
      </c>
      <c r="M35" s="44">
        <f>ROUNDDOWN(K35/12,0)</f>
        <v>8223</v>
      </c>
      <c r="N35" s="45" t="s">
        <v>4</v>
      </c>
    </row>
    <row r="36" spans="1:14" ht="15.75" thickBot="1">
      <c r="A36" s="20" t="s">
        <v>13</v>
      </c>
      <c r="B36" s="21"/>
      <c r="C36" s="22"/>
      <c r="D36" s="23"/>
      <c r="E36" s="61"/>
      <c r="F36" s="71"/>
      <c r="G36" s="62"/>
      <c r="H36" s="35"/>
      <c r="I36" s="35"/>
      <c r="J36" s="35"/>
      <c r="K36" s="35"/>
      <c r="L36" s="35"/>
      <c r="M36" s="35"/>
      <c r="N36" s="37"/>
    </row>
    <row r="37" spans="1:14" ht="16.5" thickTop="1" thickBot="1">
      <c r="A37" s="24" t="s">
        <v>2</v>
      </c>
      <c r="B37" s="25"/>
      <c r="C37" s="26">
        <v>3.59</v>
      </c>
      <c r="D37" s="27" t="s">
        <v>3</v>
      </c>
      <c r="E37" s="66">
        <v>1670000</v>
      </c>
      <c r="F37" s="70" t="s">
        <v>4</v>
      </c>
      <c r="G37" s="13">
        <f>ROUNDDOWN((C37*E37)/100,0)</f>
        <v>59953</v>
      </c>
      <c r="H37" s="12" t="s">
        <v>19</v>
      </c>
      <c r="I37" s="240">
        <f>G37+G38+G39</f>
        <v>83953</v>
      </c>
      <c r="J37" s="235" t="s">
        <v>4</v>
      </c>
      <c r="K37" s="229" t="s">
        <v>14</v>
      </c>
      <c r="L37" s="230"/>
      <c r="M37" s="230"/>
      <c r="N37" s="231"/>
    </row>
    <row r="38" spans="1:14" ht="15.75" thickTop="1">
      <c r="A38" s="11" t="s">
        <v>6</v>
      </c>
      <c r="B38" s="12"/>
      <c r="C38" s="13">
        <f t="shared" ref="C38:C39" si="0">C12*0.8</f>
        <v>9216</v>
      </c>
      <c r="D38" s="14" t="s">
        <v>4</v>
      </c>
      <c r="E38" s="67">
        <v>2</v>
      </c>
      <c r="F38" s="70" t="s">
        <v>7</v>
      </c>
      <c r="G38" s="13">
        <f>ROUNDDOWN(C38*E38,0)</f>
        <v>18432</v>
      </c>
      <c r="H38" s="12" t="s">
        <v>19</v>
      </c>
      <c r="I38" s="241"/>
      <c r="J38" s="228"/>
      <c r="K38" s="39" t="s">
        <v>8</v>
      </c>
      <c r="L38" s="40"/>
      <c r="M38" s="38" t="s">
        <v>9</v>
      </c>
      <c r="N38" s="41"/>
    </row>
    <row r="39" spans="1:14" ht="15.75" thickBot="1">
      <c r="A39" s="28" t="s">
        <v>10</v>
      </c>
      <c r="B39" s="29"/>
      <c r="C39" s="30">
        <f t="shared" si="0"/>
        <v>5568</v>
      </c>
      <c r="D39" s="31" t="s">
        <v>4</v>
      </c>
      <c r="E39" s="63"/>
      <c r="F39" s="72"/>
      <c r="G39" s="30">
        <f>C39</f>
        <v>5568</v>
      </c>
      <c r="H39" s="29" t="s">
        <v>19</v>
      </c>
      <c r="I39" s="242"/>
      <c r="J39" s="238"/>
      <c r="K39" s="42">
        <f>I37</f>
        <v>83953</v>
      </c>
      <c r="L39" s="43" t="s">
        <v>4</v>
      </c>
      <c r="M39" s="44">
        <f>ROUNDDOWN(K39/12,0)</f>
        <v>6996</v>
      </c>
      <c r="N39" s="45" t="s">
        <v>4</v>
      </c>
    </row>
    <row r="40" spans="1:14" ht="15.75" thickBot="1">
      <c r="A40" s="1"/>
      <c r="B40" s="1"/>
      <c r="C40" s="1"/>
      <c r="D40" s="1"/>
      <c r="E40" s="1"/>
      <c r="F40" s="1"/>
      <c r="G40" s="1"/>
      <c r="H40" s="1"/>
      <c r="I40" s="1"/>
      <c r="J40" s="1"/>
      <c r="K40" s="226" t="s">
        <v>15</v>
      </c>
      <c r="L40" s="227"/>
      <c r="M40" s="227"/>
      <c r="N40" s="228"/>
    </row>
    <row r="41" spans="1:14" ht="15.75" thickTop="1">
      <c r="A41" s="1"/>
      <c r="B41" s="1"/>
      <c r="C41" s="1"/>
      <c r="D41" s="1"/>
      <c r="E41" s="1"/>
      <c r="F41" s="1"/>
      <c r="G41" s="1"/>
      <c r="H41" s="1"/>
      <c r="I41" s="1"/>
      <c r="J41" s="1"/>
      <c r="K41" s="39" t="s">
        <v>8</v>
      </c>
      <c r="L41" s="40"/>
      <c r="M41" s="38" t="s">
        <v>9</v>
      </c>
      <c r="N41" s="41"/>
    </row>
    <row r="42" spans="1:14" ht="15.75" thickBot="1">
      <c r="A42" s="1"/>
      <c r="B42" s="1"/>
      <c r="C42" s="1"/>
      <c r="D42" s="1"/>
      <c r="E42" s="1"/>
      <c r="F42" s="1"/>
      <c r="G42" s="1"/>
      <c r="H42" s="1"/>
      <c r="I42" s="1"/>
      <c r="J42" s="1"/>
      <c r="K42" s="51">
        <f>K31+K35</f>
        <v>332220</v>
      </c>
      <c r="L42" s="52" t="s">
        <v>4</v>
      </c>
      <c r="M42" s="53">
        <f>ROUNDDOWN(K42/12,0)</f>
        <v>27685</v>
      </c>
      <c r="N42" s="54" t="s">
        <v>4</v>
      </c>
    </row>
    <row r="43" spans="1:14" ht="15.75" thickBot="1">
      <c r="A43" s="1"/>
      <c r="B43" s="1"/>
      <c r="C43" s="1"/>
      <c r="D43" s="1"/>
      <c r="E43" s="1"/>
      <c r="F43" s="1"/>
      <c r="G43" s="1"/>
      <c r="H43" s="1"/>
      <c r="I43" s="1"/>
      <c r="J43" s="1"/>
      <c r="K43" s="229" t="s">
        <v>14</v>
      </c>
      <c r="L43" s="230"/>
      <c r="M43" s="230"/>
      <c r="N43" s="231"/>
    </row>
    <row r="44" spans="1:14" ht="15.75" thickTop="1">
      <c r="A44" s="1"/>
      <c r="B44" s="1"/>
      <c r="C44" s="1"/>
      <c r="D44" s="1"/>
      <c r="E44" s="1"/>
      <c r="F44" s="1"/>
      <c r="G44" s="1"/>
      <c r="H44" s="1"/>
      <c r="I44" s="1"/>
      <c r="J44" s="1"/>
      <c r="K44" s="39" t="s">
        <v>8</v>
      </c>
      <c r="L44" s="40"/>
      <c r="M44" s="38" t="s">
        <v>9</v>
      </c>
      <c r="N44" s="41"/>
    </row>
    <row r="45" spans="1:14" ht="15.75" thickBot="1">
      <c r="A45" s="1"/>
      <c r="B45" s="1"/>
      <c r="C45" s="1"/>
      <c r="D45" s="1"/>
      <c r="E45" s="1"/>
      <c r="F45" s="1"/>
      <c r="G45" s="1"/>
      <c r="H45" s="1"/>
      <c r="I45" s="1"/>
      <c r="J45" s="1"/>
      <c r="K45" s="46">
        <f>K42+K39</f>
        <v>416173</v>
      </c>
      <c r="L45" s="47" t="s">
        <v>4</v>
      </c>
      <c r="M45" s="48">
        <f>ROUNDDOWN(K45/12,0)</f>
        <v>34681</v>
      </c>
      <c r="N45" s="49" t="s">
        <v>4</v>
      </c>
    </row>
    <row r="49" spans="1:17" ht="15.75" thickBot="1">
      <c r="A49" s="32" t="s">
        <v>17</v>
      </c>
      <c r="B49" s="1"/>
      <c r="C49" s="1"/>
      <c r="D49" s="1"/>
      <c r="E49" s="1"/>
      <c r="F49" s="1"/>
      <c r="G49" s="1"/>
      <c r="H49" s="1"/>
      <c r="I49" s="1"/>
      <c r="J49" s="1"/>
      <c r="K49" s="1"/>
      <c r="L49" s="1"/>
      <c r="M49" s="1"/>
      <c r="N49" s="1"/>
      <c r="O49" s="1"/>
      <c r="P49" s="1"/>
      <c r="Q49" s="1"/>
    </row>
    <row r="50" spans="1:17" ht="15.75" thickBot="1">
      <c r="A50" s="3" t="s">
        <v>1</v>
      </c>
      <c r="B50" s="4"/>
      <c r="C50" s="5"/>
      <c r="D50" s="6"/>
      <c r="E50" s="1"/>
      <c r="F50" s="1"/>
      <c r="G50" s="1"/>
      <c r="H50" s="1"/>
      <c r="I50" s="1"/>
      <c r="J50" s="1"/>
      <c r="K50" s="55"/>
      <c r="L50" s="1"/>
      <c r="M50" s="1"/>
      <c r="N50" s="1"/>
      <c r="O50" s="1"/>
      <c r="P50" s="1"/>
      <c r="Q50" s="1"/>
    </row>
    <row r="51" spans="1:17" ht="16.5" thickTop="1" thickBot="1">
      <c r="A51" s="7" t="s">
        <v>2</v>
      </c>
      <c r="B51" s="8"/>
      <c r="C51" s="9">
        <f>C3</f>
        <v>8.27</v>
      </c>
      <c r="D51" s="10" t="s">
        <v>3</v>
      </c>
      <c r="E51" s="66">
        <v>980000</v>
      </c>
      <c r="F51" s="69" t="s">
        <v>4</v>
      </c>
      <c r="G51" s="60">
        <f>ROUNDDOWN((C51*E51)/100,0)</f>
        <v>81046</v>
      </c>
      <c r="H51" s="59" t="s">
        <v>4</v>
      </c>
      <c r="I51" s="239">
        <f>G51+G52+G53</f>
        <v>140686</v>
      </c>
      <c r="J51" s="231" t="s">
        <v>4</v>
      </c>
      <c r="K51" s="229" t="s">
        <v>5</v>
      </c>
      <c r="L51" s="230"/>
      <c r="M51" s="230"/>
      <c r="N51" s="231"/>
      <c r="O51" s="1"/>
      <c r="P51" s="1"/>
      <c r="Q51" s="1"/>
    </row>
    <row r="52" spans="1:17" ht="15.75" thickTop="1">
      <c r="A52" s="11" t="s">
        <v>6</v>
      </c>
      <c r="B52" s="12"/>
      <c r="C52" s="13">
        <f>C4*0.5</f>
        <v>12240</v>
      </c>
      <c r="D52" s="14" t="s">
        <v>4</v>
      </c>
      <c r="E52" s="67">
        <v>4</v>
      </c>
      <c r="F52" s="70" t="s">
        <v>7</v>
      </c>
      <c r="G52" s="13">
        <f>ROUNDDOWN(C52*E52,0)</f>
        <v>48960</v>
      </c>
      <c r="H52" s="12" t="s">
        <v>4</v>
      </c>
      <c r="I52" s="233"/>
      <c r="J52" s="228"/>
      <c r="K52" s="39" t="s">
        <v>8</v>
      </c>
      <c r="L52" s="40"/>
      <c r="M52" s="38" t="s">
        <v>9</v>
      </c>
      <c r="N52" s="41"/>
      <c r="O52" s="1"/>
      <c r="P52" s="1"/>
      <c r="Q52" s="1"/>
    </row>
    <row r="53" spans="1:17" ht="15.75" thickBot="1">
      <c r="A53" s="15" t="s">
        <v>10</v>
      </c>
      <c r="B53" s="16"/>
      <c r="C53" s="17">
        <f>C5*0.5</f>
        <v>10680</v>
      </c>
      <c r="D53" s="18" t="s">
        <v>4</v>
      </c>
      <c r="E53" s="50"/>
      <c r="F53" s="70"/>
      <c r="G53" s="13">
        <f>C53</f>
        <v>10680</v>
      </c>
      <c r="H53" s="12" t="s">
        <v>4</v>
      </c>
      <c r="I53" s="234"/>
      <c r="J53" s="236"/>
      <c r="K53" s="42">
        <f>I51</f>
        <v>140686</v>
      </c>
      <c r="L53" s="43" t="s">
        <v>4</v>
      </c>
      <c r="M53" s="44">
        <f>ROUNDDOWN(K53/12,0)</f>
        <v>11723</v>
      </c>
      <c r="N53" s="45" t="s">
        <v>4</v>
      </c>
      <c r="O53" s="1"/>
      <c r="P53" s="1"/>
      <c r="Q53" s="1"/>
    </row>
    <row r="54" spans="1:17" ht="15.75" thickBot="1">
      <c r="A54" s="3" t="s">
        <v>11</v>
      </c>
      <c r="B54" s="4"/>
      <c r="C54" s="5"/>
      <c r="D54" s="6"/>
      <c r="E54" s="61"/>
      <c r="F54" s="71"/>
      <c r="G54" s="62"/>
      <c r="H54" s="35"/>
      <c r="I54" s="35"/>
      <c r="J54" s="35"/>
      <c r="K54" s="35"/>
      <c r="L54" s="35"/>
      <c r="M54" s="35"/>
      <c r="N54" s="37"/>
      <c r="O54" s="1"/>
      <c r="P54" s="1"/>
      <c r="Q54" s="1"/>
    </row>
    <row r="55" spans="1:17" ht="16.5" thickTop="1" thickBot="1">
      <c r="A55" s="7" t="s">
        <v>2</v>
      </c>
      <c r="B55" s="8"/>
      <c r="C55" s="9">
        <f>C33</f>
        <v>3.61</v>
      </c>
      <c r="D55" s="10" t="s">
        <v>3</v>
      </c>
      <c r="E55" s="68">
        <f>E51</f>
        <v>980000</v>
      </c>
      <c r="F55" s="70" t="s">
        <v>4</v>
      </c>
      <c r="G55" s="13">
        <f>ROUNDDOWN((C55*E55)/100,0)</f>
        <v>35378</v>
      </c>
      <c r="H55" s="12" t="s">
        <v>19</v>
      </c>
      <c r="I55" s="232">
        <f>G55+G56+G57</f>
        <v>59378</v>
      </c>
      <c r="J55" s="235" t="s">
        <v>4</v>
      </c>
      <c r="K55" s="229" t="s">
        <v>12</v>
      </c>
      <c r="L55" s="230"/>
      <c r="M55" s="230"/>
      <c r="N55" s="231"/>
      <c r="O55" s="19"/>
      <c r="P55" s="1"/>
      <c r="Q55" s="2"/>
    </row>
    <row r="56" spans="1:17" ht="15.75" thickTop="1">
      <c r="A56" s="11" t="s">
        <v>6</v>
      </c>
      <c r="B56" s="12"/>
      <c r="C56" s="13">
        <f t="shared" ref="C56:C57" si="1">C8*0.5</f>
        <v>4920</v>
      </c>
      <c r="D56" s="14" t="s">
        <v>4</v>
      </c>
      <c r="E56" s="68">
        <f>E52</f>
        <v>4</v>
      </c>
      <c r="F56" s="70" t="s">
        <v>7</v>
      </c>
      <c r="G56" s="13">
        <f>ROUNDDOWN(C56*E56,0)</f>
        <v>19680</v>
      </c>
      <c r="H56" s="12" t="s">
        <v>19</v>
      </c>
      <c r="I56" s="233"/>
      <c r="J56" s="228"/>
      <c r="K56" s="39" t="s">
        <v>8</v>
      </c>
      <c r="L56" s="40"/>
      <c r="M56" s="38" t="s">
        <v>9</v>
      </c>
      <c r="N56" s="41"/>
      <c r="O56" s="1"/>
      <c r="P56" s="1"/>
      <c r="Q56" s="1"/>
    </row>
    <row r="57" spans="1:17" ht="15.75" thickBot="1">
      <c r="A57" s="15" t="s">
        <v>10</v>
      </c>
      <c r="B57" s="16"/>
      <c r="C57" s="17">
        <f t="shared" si="1"/>
        <v>4320</v>
      </c>
      <c r="D57" s="18" t="s">
        <v>4</v>
      </c>
      <c r="E57" s="50"/>
      <c r="F57" s="70"/>
      <c r="G57" s="13">
        <f>C57</f>
        <v>4320</v>
      </c>
      <c r="H57" s="12" t="s">
        <v>19</v>
      </c>
      <c r="I57" s="234"/>
      <c r="J57" s="236"/>
      <c r="K57" s="42">
        <f>I55</f>
        <v>59378</v>
      </c>
      <c r="L57" s="43" t="s">
        <v>4</v>
      </c>
      <c r="M57" s="44">
        <f>ROUNDDOWN(K57/12,0)</f>
        <v>4948</v>
      </c>
      <c r="N57" s="45" t="s">
        <v>4</v>
      </c>
      <c r="O57" s="1"/>
      <c r="P57" s="1"/>
      <c r="Q57" s="1"/>
    </row>
    <row r="58" spans="1:17" ht="15.75" thickBot="1">
      <c r="A58" s="20" t="s">
        <v>13</v>
      </c>
      <c r="B58" s="21"/>
      <c r="C58" s="22"/>
      <c r="D58" s="23"/>
      <c r="E58" s="61"/>
      <c r="F58" s="71"/>
      <c r="G58" s="62"/>
      <c r="H58" s="35"/>
      <c r="I58" s="35"/>
      <c r="J58" s="35"/>
      <c r="K58" s="35"/>
      <c r="L58" s="35"/>
      <c r="M58" s="35"/>
      <c r="N58" s="37"/>
      <c r="O58" s="1"/>
      <c r="P58" s="1"/>
      <c r="Q58" s="1"/>
    </row>
    <row r="59" spans="1:17" ht="16.5" thickTop="1" thickBot="1">
      <c r="A59" s="24" t="s">
        <v>2</v>
      </c>
      <c r="B59" s="25"/>
      <c r="C59" s="26">
        <v>3.59</v>
      </c>
      <c r="D59" s="27" t="s">
        <v>3</v>
      </c>
      <c r="E59" s="66">
        <v>980000</v>
      </c>
      <c r="F59" s="70" t="s">
        <v>4</v>
      </c>
      <c r="G59" s="13">
        <f>ROUNDDOWN((C59*E59)/100,0)</f>
        <v>35182</v>
      </c>
      <c r="H59" s="12" t="s">
        <v>19</v>
      </c>
      <c r="I59" s="240">
        <f>G59+G60+G61</f>
        <v>50182</v>
      </c>
      <c r="J59" s="235" t="s">
        <v>4</v>
      </c>
      <c r="K59" s="229" t="s">
        <v>14</v>
      </c>
      <c r="L59" s="230"/>
      <c r="M59" s="230"/>
      <c r="N59" s="231"/>
      <c r="O59" s="1"/>
      <c r="P59" s="1"/>
      <c r="Q59" s="1"/>
    </row>
    <row r="60" spans="1:17" ht="15.75" thickTop="1">
      <c r="A60" s="11" t="s">
        <v>6</v>
      </c>
      <c r="B60" s="12"/>
      <c r="C60" s="13">
        <f t="shared" ref="C60:C61" si="2">C12*0.5</f>
        <v>5760</v>
      </c>
      <c r="D60" s="14" t="s">
        <v>4</v>
      </c>
      <c r="E60" s="67">
        <v>2</v>
      </c>
      <c r="F60" s="70" t="s">
        <v>7</v>
      </c>
      <c r="G60" s="13">
        <f>ROUNDDOWN(C60*E60,0)</f>
        <v>11520</v>
      </c>
      <c r="H60" s="12" t="s">
        <v>19</v>
      </c>
      <c r="I60" s="241"/>
      <c r="J60" s="228"/>
      <c r="K60" s="39" t="s">
        <v>8</v>
      </c>
      <c r="L60" s="40"/>
      <c r="M60" s="38" t="s">
        <v>9</v>
      </c>
      <c r="N60" s="41"/>
      <c r="O60" s="1"/>
      <c r="P60" s="1"/>
      <c r="Q60" s="1"/>
    </row>
    <row r="61" spans="1:17" ht="15.75" thickBot="1">
      <c r="A61" s="28" t="s">
        <v>10</v>
      </c>
      <c r="B61" s="29"/>
      <c r="C61" s="30">
        <f t="shared" si="2"/>
        <v>3480</v>
      </c>
      <c r="D61" s="31" t="s">
        <v>4</v>
      </c>
      <c r="E61" s="63"/>
      <c r="F61" s="72"/>
      <c r="G61" s="30">
        <f>C61</f>
        <v>3480</v>
      </c>
      <c r="H61" s="29" t="s">
        <v>19</v>
      </c>
      <c r="I61" s="242"/>
      <c r="J61" s="238"/>
      <c r="K61" s="42">
        <f>I59</f>
        <v>50182</v>
      </c>
      <c r="L61" s="43" t="s">
        <v>4</v>
      </c>
      <c r="M61" s="44">
        <f>ROUNDDOWN(K61/12,0)</f>
        <v>4181</v>
      </c>
      <c r="N61" s="45" t="s">
        <v>4</v>
      </c>
      <c r="O61" s="1"/>
      <c r="P61" s="1"/>
      <c r="Q61" s="1"/>
    </row>
    <row r="62" spans="1:17" ht="15.75" thickBot="1">
      <c r="A62" s="1"/>
      <c r="B62" s="1"/>
      <c r="C62" s="1"/>
      <c r="D62" s="1"/>
      <c r="E62" s="1"/>
      <c r="F62" s="1"/>
      <c r="G62" s="1"/>
      <c r="H62" s="1"/>
      <c r="I62" s="1"/>
      <c r="J62" s="1"/>
      <c r="K62" s="226" t="s">
        <v>15</v>
      </c>
      <c r="L62" s="227"/>
      <c r="M62" s="227"/>
      <c r="N62" s="228"/>
      <c r="O62" s="1"/>
      <c r="P62" s="1"/>
      <c r="Q62" s="1"/>
    </row>
    <row r="63" spans="1:17" ht="15.75" thickTop="1">
      <c r="A63" s="1"/>
      <c r="B63" s="1"/>
      <c r="C63" s="1"/>
      <c r="D63" s="1"/>
      <c r="E63" s="1"/>
      <c r="F63" s="1"/>
      <c r="G63" s="1"/>
      <c r="H63" s="1"/>
      <c r="I63" s="1"/>
      <c r="J63" s="1"/>
      <c r="K63" s="39" t="s">
        <v>8</v>
      </c>
      <c r="L63" s="40"/>
      <c r="M63" s="38" t="s">
        <v>9</v>
      </c>
      <c r="N63" s="41"/>
      <c r="O63" s="1"/>
      <c r="P63" s="1"/>
      <c r="Q63" s="1"/>
    </row>
    <row r="64" spans="1:17" ht="15.75" thickBot="1">
      <c r="A64" s="1"/>
      <c r="B64" s="1"/>
      <c r="C64" s="1"/>
      <c r="D64" s="1"/>
      <c r="E64" s="1"/>
      <c r="F64" s="1"/>
      <c r="G64" s="1"/>
      <c r="H64" s="1"/>
      <c r="I64" s="1"/>
      <c r="J64" s="1"/>
      <c r="K64" s="51">
        <f>K53+K57</f>
        <v>200064</v>
      </c>
      <c r="L64" s="52" t="s">
        <v>4</v>
      </c>
      <c r="M64" s="53">
        <f>ROUNDDOWN(K64/12,0)</f>
        <v>16672</v>
      </c>
      <c r="N64" s="54" t="s">
        <v>4</v>
      </c>
      <c r="O64" s="1"/>
      <c r="P64" s="1"/>
      <c r="Q64" s="1"/>
    </row>
    <row r="65" spans="1:14" ht="15.75" thickBot="1">
      <c r="A65" s="1"/>
      <c r="B65" s="1"/>
      <c r="C65" s="1"/>
      <c r="D65" s="1"/>
      <c r="E65" s="1"/>
      <c r="F65" s="1"/>
      <c r="G65" s="1"/>
      <c r="H65" s="1"/>
      <c r="I65" s="1"/>
      <c r="J65" s="1"/>
      <c r="K65" s="229" t="s">
        <v>14</v>
      </c>
      <c r="L65" s="230"/>
      <c r="M65" s="230"/>
      <c r="N65" s="231"/>
    </row>
    <row r="66" spans="1:14" ht="15.75" thickTop="1">
      <c r="A66" s="1"/>
      <c r="B66" s="1"/>
      <c r="C66" s="1"/>
      <c r="D66" s="1"/>
      <c r="E66" s="1"/>
      <c r="F66" s="1"/>
      <c r="G66" s="1"/>
      <c r="H66" s="1"/>
      <c r="I66" s="1"/>
      <c r="J66" s="1"/>
      <c r="K66" s="39" t="s">
        <v>8</v>
      </c>
      <c r="L66" s="40"/>
      <c r="M66" s="38" t="s">
        <v>9</v>
      </c>
      <c r="N66" s="41"/>
    </row>
    <row r="67" spans="1:14" ht="15.75" thickBot="1">
      <c r="A67" s="1"/>
      <c r="B67" s="1"/>
      <c r="C67" s="1"/>
      <c r="D67" s="1"/>
      <c r="E67" s="1"/>
      <c r="F67" s="1"/>
      <c r="G67" s="1"/>
      <c r="H67" s="1"/>
      <c r="I67" s="1"/>
      <c r="J67" s="1"/>
      <c r="K67" s="46">
        <f>K64+K61</f>
        <v>250246</v>
      </c>
      <c r="L67" s="47" t="s">
        <v>4</v>
      </c>
      <c r="M67" s="48">
        <f>ROUNDDOWN(K67/12,0)</f>
        <v>20853</v>
      </c>
      <c r="N67" s="49" t="s">
        <v>4</v>
      </c>
    </row>
    <row r="75" spans="1:14" ht="15.75" thickBot="1">
      <c r="A75" s="32" t="s">
        <v>18</v>
      </c>
      <c r="B75" s="1"/>
      <c r="C75" s="1"/>
      <c r="D75" s="1"/>
      <c r="E75" s="1"/>
      <c r="F75" s="1"/>
      <c r="G75" s="1"/>
      <c r="H75" s="1"/>
      <c r="I75" s="1"/>
      <c r="J75" s="1"/>
      <c r="K75" s="1"/>
      <c r="L75" s="1"/>
      <c r="M75" s="1"/>
      <c r="N75" s="1"/>
    </row>
    <row r="76" spans="1:14" ht="15.75" thickBot="1">
      <c r="A76" s="3" t="s">
        <v>1</v>
      </c>
      <c r="B76" s="4"/>
      <c r="C76" s="5"/>
      <c r="D76" s="6"/>
      <c r="E76" s="1"/>
      <c r="F76" s="1"/>
      <c r="G76" s="1"/>
      <c r="H76" s="1"/>
      <c r="I76" s="33"/>
      <c r="J76" s="33"/>
      <c r="K76" s="243" t="s">
        <v>5</v>
      </c>
      <c r="L76" s="244"/>
      <c r="M76" s="244"/>
      <c r="N76" s="245"/>
    </row>
    <row r="77" spans="1:14" ht="15.75" thickTop="1">
      <c r="A77" s="11" t="s">
        <v>6</v>
      </c>
      <c r="B77" s="12"/>
      <c r="C77" s="13">
        <f>C4*0.3</f>
        <v>7344</v>
      </c>
      <c r="D77" s="14" t="s">
        <v>4</v>
      </c>
      <c r="E77" s="66">
        <v>1</v>
      </c>
      <c r="F77" s="59" t="s">
        <v>7</v>
      </c>
      <c r="G77" s="60">
        <f>ROUNDDOWN(C77*E77,0)</f>
        <v>7344</v>
      </c>
      <c r="H77" s="59" t="s">
        <v>4</v>
      </c>
      <c r="I77" s="239">
        <f>G77+G78</f>
        <v>13752</v>
      </c>
      <c r="J77" s="231" t="s">
        <v>4</v>
      </c>
      <c r="K77" s="34" t="s">
        <v>8</v>
      </c>
      <c r="L77" s="35"/>
      <c r="M77" s="36" t="s">
        <v>9</v>
      </c>
      <c r="N77" s="37"/>
    </row>
    <row r="78" spans="1:14" ht="15.75" thickBot="1">
      <c r="A78" s="15" t="s">
        <v>10</v>
      </c>
      <c r="B78" s="16"/>
      <c r="C78" s="17">
        <f>C5*0.3</f>
        <v>6408</v>
      </c>
      <c r="D78" s="18" t="s">
        <v>4</v>
      </c>
      <c r="E78" s="50"/>
      <c r="F78" s="12"/>
      <c r="G78" s="13">
        <f>C78</f>
        <v>6408</v>
      </c>
      <c r="H78" s="12" t="s">
        <v>4</v>
      </c>
      <c r="I78" s="234"/>
      <c r="J78" s="236"/>
      <c r="K78" s="42">
        <f>I77</f>
        <v>13752</v>
      </c>
      <c r="L78" s="43" t="s">
        <v>4</v>
      </c>
      <c r="M78" s="44">
        <f>ROUNDDOWN(K78/12,0)</f>
        <v>1146</v>
      </c>
      <c r="N78" s="45" t="s">
        <v>4</v>
      </c>
    </row>
    <row r="79" spans="1:14" ht="15.75" thickBot="1">
      <c r="A79" s="3" t="s">
        <v>11</v>
      </c>
      <c r="B79" s="4"/>
      <c r="C79" s="5"/>
      <c r="D79" s="6"/>
      <c r="E79" s="61"/>
      <c r="F79" s="35"/>
      <c r="G79" s="62"/>
      <c r="H79" s="35"/>
      <c r="I79" s="64"/>
      <c r="J79" s="65"/>
      <c r="K79" s="243" t="s">
        <v>12</v>
      </c>
      <c r="L79" s="244"/>
      <c r="M79" s="244"/>
      <c r="N79" s="245"/>
    </row>
    <row r="80" spans="1:14" ht="15.75" thickTop="1">
      <c r="A80" s="11" t="s">
        <v>6</v>
      </c>
      <c r="B80" s="12"/>
      <c r="C80" s="74">
        <f>C8*0.3</f>
        <v>2952</v>
      </c>
      <c r="D80" s="14" t="s">
        <v>4</v>
      </c>
      <c r="E80" s="68">
        <f>E77</f>
        <v>1</v>
      </c>
      <c r="F80" s="12" t="s">
        <v>7</v>
      </c>
      <c r="G80" s="73">
        <f>ROUNDDOWN(C80*E80,0)</f>
        <v>2952</v>
      </c>
      <c r="H80" s="12" t="s">
        <v>4</v>
      </c>
      <c r="I80" s="232">
        <f>G80+G81</f>
        <v>5544</v>
      </c>
      <c r="J80" s="235" t="s">
        <v>4</v>
      </c>
      <c r="K80" s="34" t="s">
        <v>8</v>
      </c>
      <c r="L80" s="35"/>
      <c r="M80" s="36" t="s">
        <v>9</v>
      </c>
      <c r="N80" s="37"/>
    </row>
    <row r="81" spans="1:14" ht="15.75" thickBot="1">
      <c r="A81" s="15" t="s">
        <v>10</v>
      </c>
      <c r="B81" s="16"/>
      <c r="C81" s="17">
        <f>C9*0.3</f>
        <v>2592</v>
      </c>
      <c r="D81" s="18" t="s">
        <v>4</v>
      </c>
      <c r="E81" s="50"/>
      <c r="F81" s="12"/>
      <c r="G81" s="13">
        <f>C81</f>
        <v>2592</v>
      </c>
      <c r="H81" s="12" t="s">
        <v>4</v>
      </c>
      <c r="I81" s="234"/>
      <c r="J81" s="236"/>
      <c r="K81" s="42">
        <f>I80</f>
        <v>5544</v>
      </c>
      <c r="L81" s="43" t="s">
        <v>4</v>
      </c>
      <c r="M81" s="44">
        <f>ROUNDDOWN(K81/12,0)</f>
        <v>462</v>
      </c>
      <c r="N81" s="45" t="s">
        <v>4</v>
      </c>
    </row>
    <row r="82" spans="1:14" ht="15.75" thickBot="1">
      <c r="A82" s="20" t="s">
        <v>13</v>
      </c>
      <c r="B82" s="21"/>
      <c r="C82" s="22"/>
      <c r="D82" s="23"/>
      <c r="E82" s="61"/>
      <c r="F82" s="35"/>
      <c r="G82" s="62"/>
      <c r="H82" s="35"/>
      <c r="I82" s="64"/>
      <c r="J82" s="65"/>
      <c r="K82" s="243" t="s">
        <v>14</v>
      </c>
      <c r="L82" s="244"/>
      <c r="M82" s="244"/>
      <c r="N82" s="245"/>
    </row>
    <row r="83" spans="1:14" ht="15.75" thickTop="1">
      <c r="A83" s="11" t="s">
        <v>6</v>
      </c>
      <c r="B83" s="12"/>
      <c r="C83" s="74">
        <f>C12*0.3</f>
        <v>3456</v>
      </c>
      <c r="D83" s="14" t="s">
        <v>4</v>
      </c>
      <c r="E83" s="67">
        <v>1</v>
      </c>
      <c r="F83" s="12" t="s">
        <v>7</v>
      </c>
      <c r="G83" s="13">
        <f>ROUNDDOWN(C83*E83,0)</f>
        <v>3456</v>
      </c>
      <c r="H83" s="12" t="s">
        <v>4</v>
      </c>
      <c r="I83" s="232">
        <f>G83+G84</f>
        <v>5544</v>
      </c>
      <c r="J83" s="235" t="s">
        <v>4</v>
      </c>
      <c r="K83" s="34" t="s">
        <v>8</v>
      </c>
      <c r="L83" s="35"/>
      <c r="M83" s="36" t="s">
        <v>9</v>
      </c>
      <c r="N83" s="37"/>
    </row>
    <row r="84" spans="1:14" ht="15.75" thickBot="1">
      <c r="A84" s="28" t="s">
        <v>10</v>
      </c>
      <c r="B84" s="29"/>
      <c r="C84" s="75">
        <f>C13*0.3</f>
        <v>2088</v>
      </c>
      <c r="D84" s="31" t="s">
        <v>4</v>
      </c>
      <c r="E84" s="63"/>
      <c r="F84" s="29"/>
      <c r="G84" s="30">
        <f>C84</f>
        <v>2088</v>
      </c>
      <c r="H84" s="29" t="s">
        <v>4</v>
      </c>
      <c r="I84" s="237"/>
      <c r="J84" s="238"/>
      <c r="K84" s="77">
        <f>I83</f>
        <v>5544</v>
      </c>
      <c r="L84" s="78" t="s">
        <v>4</v>
      </c>
      <c r="M84" s="79">
        <f>ROUNDDOWN(K84/12,0)</f>
        <v>462</v>
      </c>
      <c r="N84" s="80" t="s">
        <v>4</v>
      </c>
    </row>
    <row r="85" spans="1:14" ht="15.75" thickBot="1">
      <c r="A85" s="1"/>
      <c r="B85" s="1"/>
      <c r="C85" s="1"/>
      <c r="D85" s="1"/>
      <c r="E85" s="1"/>
      <c r="F85" s="1"/>
      <c r="G85" s="1"/>
      <c r="H85" s="1"/>
      <c r="I85" s="1"/>
      <c r="J85" s="1"/>
      <c r="K85" s="229" t="s">
        <v>15</v>
      </c>
      <c r="L85" s="230"/>
      <c r="M85" s="230"/>
      <c r="N85" s="231"/>
    </row>
    <row r="86" spans="1:14" ht="15.75" thickTop="1">
      <c r="A86" s="1"/>
      <c r="B86" s="1"/>
      <c r="C86" s="1"/>
      <c r="D86" s="1"/>
      <c r="E86" s="1"/>
      <c r="F86" s="1"/>
      <c r="G86" s="1"/>
      <c r="H86" s="1"/>
      <c r="I86" s="1"/>
      <c r="J86" s="1"/>
      <c r="K86" s="39" t="s">
        <v>8</v>
      </c>
      <c r="L86" s="40"/>
      <c r="M86" s="38" t="s">
        <v>9</v>
      </c>
      <c r="N86" s="41"/>
    </row>
    <row r="87" spans="1:14" ht="15.75" thickBot="1">
      <c r="A87" s="1"/>
      <c r="B87" s="1"/>
      <c r="C87" s="1"/>
      <c r="D87" s="1"/>
      <c r="E87" s="1"/>
      <c r="F87" s="1"/>
      <c r="G87" s="1"/>
      <c r="H87" s="1"/>
      <c r="I87" s="1"/>
      <c r="J87" s="1"/>
      <c r="K87" s="51">
        <f>K78+K81</f>
        <v>19296</v>
      </c>
      <c r="L87" s="52" t="s">
        <v>4</v>
      </c>
      <c r="M87" s="53">
        <f>ROUNDDOWN(K87/12,0)</f>
        <v>1608</v>
      </c>
      <c r="N87" s="54" t="s">
        <v>4</v>
      </c>
    </row>
    <row r="88" spans="1:14" ht="15.75" thickBot="1">
      <c r="A88" s="1"/>
      <c r="B88" s="1"/>
      <c r="C88" s="1"/>
      <c r="D88" s="1"/>
      <c r="E88" s="1"/>
      <c r="F88" s="1"/>
      <c r="G88" s="1"/>
      <c r="H88" s="1"/>
      <c r="I88" s="1"/>
      <c r="J88" s="1"/>
      <c r="K88" s="229" t="s">
        <v>14</v>
      </c>
      <c r="L88" s="230"/>
      <c r="M88" s="230"/>
      <c r="N88" s="231"/>
    </row>
    <row r="89" spans="1:14" ht="15.75" thickTop="1">
      <c r="A89" s="1"/>
      <c r="B89" s="1"/>
      <c r="C89" s="1"/>
      <c r="D89" s="1"/>
      <c r="E89" s="1"/>
      <c r="F89" s="1"/>
      <c r="G89" s="1"/>
      <c r="H89" s="1"/>
      <c r="I89" s="1"/>
      <c r="J89" s="1"/>
      <c r="K89" s="39" t="s">
        <v>8</v>
      </c>
      <c r="L89" s="40"/>
      <c r="M89" s="38" t="s">
        <v>9</v>
      </c>
      <c r="N89" s="41"/>
    </row>
    <row r="90" spans="1:14" ht="15.75" thickBot="1">
      <c r="A90" s="1"/>
      <c r="B90" s="1"/>
      <c r="C90" s="1"/>
      <c r="D90" s="1"/>
      <c r="E90" s="1"/>
      <c r="F90" s="1"/>
      <c r="G90" s="1"/>
      <c r="H90" s="1"/>
      <c r="I90" s="1"/>
      <c r="J90" s="1"/>
      <c r="K90" s="46">
        <f>K78+K81+K84</f>
        <v>24840</v>
      </c>
      <c r="L90" s="47" t="s">
        <v>4</v>
      </c>
      <c r="M90" s="48">
        <f>ROUNDDOWN(K90/12,0)</f>
        <v>2070</v>
      </c>
      <c r="N90" s="49" t="s">
        <v>4</v>
      </c>
    </row>
  </sheetData>
  <sheetProtection sheet="1" objects="1" scenarios="1" selectLockedCells="1"/>
  <protectedRanges>
    <protectedRange sqref="E83" name="範囲8"/>
    <protectedRange sqref="E77" name="範囲7"/>
    <protectedRange sqref="E59:E60" name="範囲6"/>
    <protectedRange sqref="E51:E52" name="範囲5"/>
    <protectedRange sqref="E37:E38" name="範囲4"/>
    <protectedRange sqref="E29:E30" name="範囲3"/>
    <protectedRange sqref="E11:E12" name="範囲2"/>
    <protectedRange sqref="E3:E4" name="範囲1"/>
  </protectedRanges>
  <mergeCells count="44">
    <mergeCell ref="I83:I84"/>
    <mergeCell ref="J83:J84"/>
    <mergeCell ref="K85:N85"/>
    <mergeCell ref="K88:N88"/>
    <mergeCell ref="I77:I78"/>
    <mergeCell ref="J77:J78"/>
    <mergeCell ref="K79:N79"/>
    <mergeCell ref="I80:I81"/>
    <mergeCell ref="J80:J81"/>
    <mergeCell ref="K82:N82"/>
    <mergeCell ref="K76:N76"/>
    <mergeCell ref="K40:N40"/>
    <mergeCell ref="K43:N43"/>
    <mergeCell ref="I51:I53"/>
    <mergeCell ref="J51:J53"/>
    <mergeCell ref="K51:N51"/>
    <mergeCell ref="I55:I57"/>
    <mergeCell ref="J55:J57"/>
    <mergeCell ref="K55:N55"/>
    <mergeCell ref="I59:I61"/>
    <mergeCell ref="J59:J61"/>
    <mergeCell ref="K59:N59"/>
    <mergeCell ref="K62:N62"/>
    <mergeCell ref="K65:N65"/>
    <mergeCell ref="I33:I35"/>
    <mergeCell ref="J33:J35"/>
    <mergeCell ref="K33:N33"/>
    <mergeCell ref="I37:I39"/>
    <mergeCell ref="J37:J39"/>
    <mergeCell ref="K37:N37"/>
    <mergeCell ref="I29:I31"/>
    <mergeCell ref="J29:J31"/>
    <mergeCell ref="K29:N29"/>
    <mergeCell ref="I3:I5"/>
    <mergeCell ref="J3:J5"/>
    <mergeCell ref="K3:N3"/>
    <mergeCell ref="I7:I9"/>
    <mergeCell ref="J7:J9"/>
    <mergeCell ref="K7:N7"/>
    <mergeCell ref="I11:I13"/>
    <mergeCell ref="J11:J13"/>
    <mergeCell ref="K11:N11"/>
    <mergeCell ref="K14:N14"/>
    <mergeCell ref="K17:N17"/>
  </mergeCells>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codeName="Sheet5"/>
  <dimension ref="A1:Q90"/>
  <sheetViews>
    <sheetView workbookViewId="0">
      <selection activeCell="E11" sqref="E11"/>
    </sheetView>
  </sheetViews>
  <sheetFormatPr defaultRowHeight="13.5"/>
  <cols>
    <col min="2" max="2" width="4" customWidth="1"/>
    <col min="4" max="4" width="4" bestFit="1" customWidth="1"/>
    <col min="5" max="5" width="12" bestFit="1" customWidth="1"/>
    <col min="6" max="6" width="4" bestFit="1" customWidth="1"/>
    <col min="8" max="8" width="4" bestFit="1" customWidth="1"/>
    <col min="10" max="10" width="4" bestFit="1" customWidth="1"/>
    <col min="12" max="12" width="4" bestFit="1" customWidth="1"/>
    <col min="14" max="14" width="4" bestFit="1" customWidth="1"/>
  </cols>
  <sheetData>
    <row r="1" spans="1:14" ht="15.75" thickBot="1">
      <c r="A1" s="32" t="s">
        <v>0</v>
      </c>
      <c r="B1" s="1"/>
      <c r="C1" s="1"/>
      <c r="D1" s="1"/>
      <c r="E1" s="1"/>
      <c r="F1" s="1"/>
      <c r="G1" s="1"/>
      <c r="H1" s="1"/>
      <c r="I1" s="1"/>
      <c r="J1" s="1"/>
      <c r="K1" s="1"/>
      <c r="L1" s="1"/>
      <c r="M1" s="1"/>
      <c r="N1" s="1"/>
    </row>
    <row r="2" spans="1:14" ht="15.75" thickBot="1">
      <c r="A2" s="3" t="s">
        <v>1</v>
      </c>
      <c r="B2" s="4"/>
      <c r="C2" s="5"/>
      <c r="D2" s="6"/>
      <c r="E2" s="1"/>
      <c r="F2" s="1"/>
      <c r="G2" s="1"/>
      <c r="H2" s="1"/>
      <c r="I2" s="1"/>
      <c r="J2" s="1"/>
      <c r="K2" s="55"/>
      <c r="L2" s="1"/>
      <c r="M2" s="1"/>
      <c r="N2" s="1"/>
    </row>
    <row r="3" spans="1:14" ht="16.5" thickTop="1" thickBot="1">
      <c r="A3" s="7" t="s">
        <v>2</v>
      </c>
      <c r="B3" s="8"/>
      <c r="C3" s="9">
        <v>7.7</v>
      </c>
      <c r="D3" s="10" t="s">
        <v>3</v>
      </c>
      <c r="E3" s="66">
        <v>1550000</v>
      </c>
      <c r="F3" s="69" t="s">
        <v>4</v>
      </c>
      <c r="G3" s="60">
        <f>ROUNDDOWN((C3*E3)/100,0)</f>
        <v>119350</v>
      </c>
      <c r="H3" s="59" t="s">
        <v>4</v>
      </c>
      <c r="I3" s="239">
        <f>G3+G4+G5</f>
        <v>187030</v>
      </c>
      <c r="J3" s="231" t="s">
        <v>4</v>
      </c>
      <c r="K3" s="229" t="s">
        <v>5</v>
      </c>
      <c r="L3" s="230"/>
      <c r="M3" s="230"/>
      <c r="N3" s="231"/>
    </row>
    <row r="4" spans="1:14" ht="15.75" thickTop="1">
      <c r="A4" s="11" t="s">
        <v>6</v>
      </c>
      <c r="B4" s="12"/>
      <c r="C4" s="13">
        <v>23520</v>
      </c>
      <c r="D4" s="14" t="s">
        <v>4</v>
      </c>
      <c r="E4" s="67">
        <v>2</v>
      </c>
      <c r="F4" s="70" t="s">
        <v>7</v>
      </c>
      <c r="G4" s="13">
        <f>ROUNDDOWN(C4*E4,0)</f>
        <v>47040</v>
      </c>
      <c r="H4" s="12" t="s">
        <v>4</v>
      </c>
      <c r="I4" s="233"/>
      <c r="J4" s="228"/>
      <c r="K4" s="39" t="s">
        <v>8</v>
      </c>
      <c r="L4" s="40"/>
      <c r="M4" s="38" t="s">
        <v>9</v>
      </c>
      <c r="N4" s="41"/>
    </row>
    <row r="5" spans="1:14" ht="15.75" thickBot="1">
      <c r="A5" s="15" t="s">
        <v>10</v>
      </c>
      <c r="B5" s="16"/>
      <c r="C5" s="17">
        <v>20640</v>
      </c>
      <c r="D5" s="18" t="s">
        <v>4</v>
      </c>
      <c r="E5" s="50"/>
      <c r="F5" s="70"/>
      <c r="G5" s="13">
        <f>C5</f>
        <v>20640</v>
      </c>
      <c r="H5" s="12" t="s">
        <v>4</v>
      </c>
      <c r="I5" s="234"/>
      <c r="J5" s="236"/>
      <c r="K5" s="42">
        <f>I3</f>
        <v>187030</v>
      </c>
      <c r="L5" s="43" t="s">
        <v>4</v>
      </c>
      <c r="M5" s="44">
        <f>ROUNDDOWN(K5/12,0)</f>
        <v>15585</v>
      </c>
      <c r="N5" s="45" t="s">
        <v>4</v>
      </c>
    </row>
    <row r="6" spans="1:14" ht="15.75" thickBot="1">
      <c r="A6" s="3" t="s">
        <v>11</v>
      </c>
      <c r="B6" s="4"/>
      <c r="C6" s="5"/>
      <c r="D6" s="6"/>
      <c r="E6" s="61"/>
      <c r="F6" s="71"/>
      <c r="G6" s="62"/>
      <c r="H6" s="35"/>
      <c r="I6" s="35"/>
      <c r="J6" s="35"/>
      <c r="K6" s="35"/>
      <c r="L6" s="35"/>
      <c r="M6" s="35"/>
      <c r="N6" s="37"/>
    </row>
    <row r="7" spans="1:14" ht="16.5" thickTop="1" thickBot="1">
      <c r="A7" s="7" t="s">
        <v>2</v>
      </c>
      <c r="B7" s="8"/>
      <c r="C7" s="9">
        <v>3.45</v>
      </c>
      <c r="D7" s="10" t="s">
        <v>3</v>
      </c>
      <c r="E7" s="68">
        <f>E3</f>
        <v>1550000</v>
      </c>
      <c r="F7" s="70" t="s">
        <v>4</v>
      </c>
      <c r="G7" s="13">
        <f>ROUNDDOWN((C7*E7)/100,0)</f>
        <v>53475</v>
      </c>
      <c r="H7" s="12" t="s">
        <v>19</v>
      </c>
      <c r="I7" s="232">
        <f>G7+G8+G9</f>
        <v>80355</v>
      </c>
      <c r="J7" s="235" t="s">
        <v>4</v>
      </c>
      <c r="K7" s="229" t="s">
        <v>12</v>
      </c>
      <c r="L7" s="230"/>
      <c r="M7" s="230"/>
      <c r="N7" s="231"/>
    </row>
    <row r="8" spans="1:14" ht="15.75" thickTop="1">
      <c r="A8" s="11" t="s">
        <v>6</v>
      </c>
      <c r="B8" s="12"/>
      <c r="C8" s="13">
        <v>9360</v>
      </c>
      <c r="D8" s="14" t="s">
        <v>4</v>
      </c>
      <c r="E8" s="68">
        <f>E4</f>
        <v>2</v>
      </c>
      <c r="F8" s="70" t="s">
        <v>7</v>
      </c>
      <c r="G8" s="13">
        <f>ROUNDDOWN(C8*E8,0)</f>
        <v>18720</v>
      </c>
      <c r="H8" s="12" t="s">
        <v>19</v>
      </c>
      <c r="I8" s="233"/>
      <c r="J8" s="228"/>
      <c r="K8" s="39" t="s">
        <v>8</v>
      </c>
      <c r="L8" s="40"/>
      <c r="M8" s="38" t="s">
        <v>9</v>
      </c>
      <c r="N8" s="41"/>
    </row>
    <row r="9" spans="1:14" ht="15.75" thickBot="1">
      <c r="A9" s="15" t="s">
        <v>10</v>
      </c>
      <c r="B9" s="16"/>
      <c r="C9" s="17">
        <v>8160</v>
      </c>
      <c r="D9" s="18" t="s">
        <v>4</v>
      </c>
      <c r="E9" s="76"/>
      <c r="F9" s="70"/>
      <c r="G9" s="13">
        <f>C9</f>
        <v>8160</v>
      </c>
      <c r="H9" s="12" t="s">
        <v>19</v>
      </c>
      <c r="I9" s="234"/>
      <c r="J9" s="236"/>
      <c r="K9" s="42">
        <f>I7</f>
        <v>80355</v>
      </c>
      <c r="L9" s="43" t="s">
        <v>4</v>
      </c>
      <c r="M9" s="44">
        <f>ROUNDDOWN(K9/12,0)</f>
        <v>6696</v>
      </c>
      <c r="N9" s="45" t="s">
        <v>4</v>
      </c>
    </row>
    <row r="10" spans="1:14" ht="15.75" thickBot="1">
      <c r="A10" s="20" t="s">
        <v>13</v>
      </c>
      <c r="B10" s="21"/>
      <c r="C10" s="22"/>
      <c r="D10" s="23"/>
      <c r="E10" s="61"/>
      <c r="F10" s="71"/>
      <c r="G10" s="62"/>
      <c r="H10" s="35"/>
      <c r="I10" s="35"/>
      <c r="J10" s="35"/>
      <c r="K10" s="35"/>
      <c r="L10" s="35"/>
      <c r="M10" s="35"/>
      <c r="N10" s="37"/>
    </row>
    <row r="11" spans="1:14" ht="16.5" thickTop="1" thickBot="1">
      <c r="A11" s="24" t="s">
        <v>2</v>
      </c>
      <c r="B11" s="25"/>
      <c r="C11" s="26">
        <v>3.04</v>
      </c>
      <c r="D11" s="27" t="s">
        <v>3</v>
      </c>
      <c r="E11" s="66">
        <v>1550000</v>
      </c>
      <c r="F11" s="70" t="s">
        <v>4</v>
      </c>
      <c r="G11" s="13">
        <f>ROUNDDOWN((C11*E11)/100,0)</f>
        <v>47120</v>
      </c>
      <c r="H11" s="12" t="s">
        <v>19</v>
      </c>
      <c r="I11" s="240">
        <f>G11+G12+G13</f>
        <v>63200</v>
      </c>
      <c r="J11" s="235" t="s">
        <v>4</v>
      </c>
      <c r="K11" s="229" t="s">
        <v>14</v>
      </c>
      <c r="L11" s="230"/>
      <c r="M11" s="230"/>
      <c r="N11" s="231"/>
    </row>
    <row r="12" spans="1:14" ht="15.75" thickTop="1">
      <c r="A12" s="11" t="s">
        <v>6</v>
      </c>
      <c r="B12" s="12"/>
      <c r="C12" s="13">
        <v>10080</v>
      </c>
      <c r="D12" s="14" t="s">
        <v>4</v>
      </c>
      <c r="E12" s="67">
        <v>1</v>
      </c>
      <c r="F12" s="70" t="s">
        <v>7</v>
      </c>
      <c r="G12" s="13">
        <f>ROUNDDOWN(C12*E12,0)</f>
        <v>10080</v>
      </c>
      <c r="H12" s="12" t="s">
        <v>19</v>
      </c>
      <c r="I12" s="241"/>
      <c r="J12" s="228"/>
      <c r="K12" s="39" t="s">
        <v>8</v>
      </c>
      <c r="L12" s="40"/>
      <c r="M12" s="38" t="s">
        <v>9</v>
      </c>
      <c r="N12" s="41"/>
    </row>
    <row r="13" spans="1:14" ht="15.75" thickBot="1">
      <c r="A13" s="28" t="s">
        <v>10</v>
      </c>
      <c r="B13" s="29"/>
      <c r="C13" s="30">
        <v>6000</v>
      </c>
      <c r="D13" s="31" t="s">
        <v>4</v>
      </c>
      <c r="E13" s="63"/>
      <c r="F13" s="72"/>
      <c r="G13" s="30">
        <f>C13</f>
        <v>6000</v>
      </c>
      <c r="H13" s="29" t="s">
        <v>19</v>
      </c>
      <c r="I13" s="242"/>
      <c r="J13" s="238"/>
      <c r="K13" s="42">
        <f>I11</f>
        <v>63200</v>
      </c>
      <c r="L13" s="43" t="s">
        <v>4</v>
      </c>
      <c r="M13" s="44">
        <f>ROUNDDOWN(K13/12,0)</f>
        <v>5266</v>
      </c>
      <c r="N13" s="45" t="s">
        <v>4</v>
      </c>
    </row>
    <row r="14" spans="1:14" ht="15.75" thickBot="1">
      <c r="A14" s="1"/>
      <c r="B14" s="1"/>
      <c r="C14" s="1"/>
      <c r="D14" s="1"/>
      <c r="E14" s="1"/>
      <c r="F14" s="1"/>
      <c r="G14" s="1"/>
      <c r="H14" s="1"/>
      <c r="I14" s="1"/>
      <c r="J14" s="1"/>
      <c r="K14" s="226" t="s">
        <v>15</v>
      </c>
      <c r="L14" s="227"/>
      <c r="M14" s="227"/>
      <c r="N14" s="228"/>
    </row>
    <row r="15" spans="1:14" ht="15.75" thickTop="1">
      <c r="A15" s="1"/>
      <c r="B15" s="1"/>
      <c r="C15" s="1"/>
      <c r="D15" s="1"/>
      <c r="E15" s="1"/>
      <c r="F15" s="1" t="s">
        <v>20</v>
      </c>
      <c r="G15" s="1"/>
      <c r="H15" s="1"/>
      <c r="I15" s="1"/>
      <c r="J15" s="1"/>
      <c r="K15" s="39" t="s">
        <v>8</v>
      </c>
      <c r="L15" s="40"/>
      <c r="M15" s="38" t="s">
        <v>9</v>
      </c>
      <c r="N15" s="41"/>
    </row>
    <row r="16" spans="1:14" ht="15.75" thickBot="1">
      <c r="A16" s="1"/>
      <c r="B16" s="1"/>
      <c r="C16" s="1"/>
      <c r="D16" s="1"/>
      <c r="E16" s="1"/>
      <c r="F16" s="1" t="s">
        <v>21</v>
      </c>
      <c r="G16" s="1"/>
      <c r="H16" s="1"/>
      <c r="I16" s="1"/>
      <c r="J16" s="1"/>
      <c r="K16" s="51">
        <f>K5+K9</f>
        <v>267385</v>
      </c>
      <c r="L16" s="52" t="s">
        <v>4</v>
      </c>
      <c r="M16" s="53">
        <f>ROUNDDOWN(K16/12,0)</f>
        <v>22282</v>
      </c>
      <c r="N16" s="54" t="s">
        <v>4</v>
      </c>
    </row>
    <row r="17" spans="1:14" ht="15.75" thickBot="1">
      <c r="A17" s="1"/>
      <c r="B17" s="1"/>
      <c r="C17" s="1"/>
      <c r="D17" s="1"/>
      <c r="E17" s="1"/>
      <c r="F17" s="1" t="s">
        <v>22</v>
      </c>
      <c r="G17" s="1"/>
      <c r="H17" s="1"/>
      <c r="I17" s="1"/>
      <c r="J17" s="1"/>
      <c r="K17" s="229" t="s">
        <v>14</v>
      </c>
      <c r="L17" s="230"/>
      <c r="M17" s="230"/>
      <c r="N17" s="231"/>
    </row>
    <row r="18" spans="1:14" ht="15.75" thickTop="1">
      <c r="A18" s="1"/>
      <c r="B18" s="1"/>
      <c r="C18" s="1"/>
      <c r="D18" s="1"/>
      <c r="E18" s="1"/>
      <c r="F18" s="1"/>
      <c r="G18" s="1"/>
      <c r="H18" s="1"/>
      <c r="I18" s="1"/>
      <c r="J18" s="1"/>
      <c r="K18" s="39" t="s">
        <v>8</v>
      </c>
      <c r="L18" s="40"/>
      <c r="M18" s="38" t="s">
        <v>9</v>
      </c>
      <c r="N18" s="41"/>
    </row>
    <row r="19" spans="1:14" ht="15.75" thickBot="1">
      <c r="A19" s="1"/>
      <c r="B19" s="1"/>
      <c r="C19" s="1"/>
      <c r="D19" s="1"/>
      <c r="E19" s="1"/>
      <c r="F19" s="1"/>
      <c r="G19" s="1"/>
      <c r="H19" s="1"/>
      <c r="I19" s="1"/>
      <c r="J19" s="1"/>
      <c r="K19" s="46">
        <f>K16+K13</f>
        <v>330585</v>
      </c>
      <c r="L19" s="47" t="s">
        <v>4</v>
      </c>
      <c r="M19" s="48">
        <f>ROUNDDOWN(K19/12,0)</f>
        <v>27548</v>
      </c>
      <c r="N19" s="49" t="s">
        <v>4</v>
      </c>
    </row>
    <row r="20" spans="1:14" ht="15">
      <c r="A20" s="1"/>
      <c r="B20" s="1"/>
      <c r="C20" s="1"/>
      <c r="D20" s="1"/>
      <c r="E20" s="1"/>
      <c r="F20" s="1"/>
      <c r="G20" s="1"/>
      <c r="H20" s="1"/>
      <c r="I20" s="1"/>
      <c r="J20" s="1"/>
      <c r="K20" s="56"/>
      <c r="L20" s="57"/>
      <c r="M20" s="58"/>
      <c r="N20" s="57"/>
    </row>
    <row r="21" spans="1:14" ht="15">
      <c r="A21" s="1"/>
      <c r="B21" s="1"/>
      <c r="C21" s="1"/>
      <c r="D21" s="1"/>
      <c r="E21" s="1"/>
      <c r="F21" s="1"/>
      <c r="G21" s="1"/>
      <c r="H21" s="1"/>
      <c r="I21" s="1"/>
      <c r="J21" s="1"/>
      <c r="K21" s="56"/>
      <c r="L21" s="57"/>
      <c r="M21" s="58"/>
      <c r="N21" s="57"/>
    </row>
    <row r="22" spans="1:14" ht="15">
      <c r="A22" s="1"/>
      <c r="B22" s="1"/>
      <c r="C22" s="1"/>
      <c r="D22" s="1"/>
      <c r="E22" s="1"/>
      <c r="F22" s="1"/>
      <c r="G22" s="1"/>
      <c r="H22" s="1"/>
      <c r="I22" s="1"/>
      <c r="J22" s="1"/>
      <c r="K22" s="56"/>
      <c r="L22" s="57"/>
      <c r="M22" s="58"/>
      <c r="N22" s="57"/>
    </row>
    <row r="23" spans="1:14" ht="15">
      <c r="A23" s="1"/>
      <c r="B23" s="1"/>
      <c r="C23" s="1"/>
      <c r="D23" s="1"/>
      <c r="E23" s="1"/>
      <c r="F23" s="1"/>
      <c r="G23" s="1"/>
      <c r="H23" s="1"/>
      <c r="I23" s="1"/>
      <c r="J23" s="1"/>
      <c r="K23" s="56"/>
      <c r="L23" s="57"/>
      <c r="M23" s="58"/>
      <c r="N23" s="57"/>
    </row>
    <row r="24" spans="1:14" ht="15">
      <c r="A24" s="1"/>
      <c r="B24" s="1"/>
      <c r="C24" s="1"/>
      <c r="D24" s="1"/>
      <c r="E24" s="1"/>
      <c r="F24" s="1"/>
      <c r="G24" s="1"/>
      <c r="H24" s="1"/>
      <c r="I24" s="1"/>
      <c r="J24" s="1"/>
      <c r="K24" s="56"/>
      <c r="L24" s="57"/>
      <c r="M24" s="58"/>
      <c r="N24" s="57"/>
    </row>
    <row r="25" spans="1:14" ht="15">
      <c r="A25" s="1"/>
      <c r="B25" s="1"/>
      <c r="C25" s="1"/>
      <c r="D25" s="1"/>
      <c r="E25" s="1"/>
      <c r="F25" s="1"/>
      <c r="G25" s="1"/>
      <c r="H25" s="1"/>
      <c r="I25" s="1"/>
      <c r="J25" s="1"/>
      <c r="K25" s="56"/>
      <c r="L25" s="57"/>
      <c r="M25" s="58"/>
      <c r="N25" s="57"/>
    </row>
    <row r="27" spans="1:14" ht="15.75" thickBot="1">
      <c r="A27" s="32" t="s">
        <v>16</v>
      </c>
      <c r="B27" s="1"/>
      <c r="C27" s="1"/>
      <c r="D27" s="1"/>
      <c r="E27" s="1"/>
      <c r="F27" s="1"/>
      <c r="G27" s="1"/>
      <c r="H27" s="1"/>
      <c r="I27" s="1"/>
      <c r="J27" s="1"/>
      <c r="K27" s="1"/>
      <c r="L27" s="1"/>
      <c r="M27" s="1"/>
      <c r="N27" s="1"/>
    </row>
    <row r="28" spans="1:14" ht="15.75" thickBot="1">
      <c r="A28" s="3" t="s">
        <v>1</v>
      </c>
      <c r="B28" s="4"/>
      <c r="C28" s="5"/>
      <c r="D28" s="6"/>
      <c r="E28" s="1"/>
      <c r="F28" s="1"/>
      <c r="G28" s="1"/>
      <c r="H28" s="1"/>
      <c r="I28" s="1"/>
      <c r="J28" s="1"/>
      <c r="K28" s="55"/>
      <c r="L28" s="1"/>
      <c r="M28" s="1"/>
      <c r="N28" s="1"/>
    </row>
    <row r="29" spans="1:14" ht="16.5" thickTop="1" thickBot="1">
      <c r="A29" s="7" t="s">
        <v>2</v>
      </c>
      <c r="B29" s="8"/>
      <c r="C29" s="9">
        <f>C3</f>
        <v>7.7</v>
      </c>
      <c r="D29" s="10" t="s">
        <v>3</v>
      </c>
      <c r="E29" s="66">
        <v>839530</v>
      </c>
      <c r="F29" s="69" t="s">
        <v>4</v>
      </c>
      <c r="G29" s="60">
        <f>ROUNDDOWN((C29*E29)/100,0)</f>
        <v>64643</v>
      </c>
      <c r="H29" s="59" t="s">
        <v>4</v>
      </c>
      <c r="I29" s="239">
        <f>G29+G30+G31</f>
        <v>118787</v>
      </c>
      <c r="J29" s="231" t="s">
        <v>4</v>
      </c>
      <c r="K29" s="229" t="s">
        <v>5</v>
      </c>
      <c r="L29" s="230"/>
      <c r="M29" s="230"/>
      <c r="N29" s="231"/>
    </row>
    <row r="30" spans="1:14" ht="15.75" thickTop="1">
      <c r="A30" s="11" t="s">
        <v>6</v>
      </c>
      <c r="B30" s="12"/>
      <c r="C30" s="13">
        <f>C4*0.8</f>
        <v>18816</v>
      </c>
      <c r="D30" s="14" t="s">
        <v>4</v>
      </c>
      <c r="E30" s="67">
        <v>2</v>
      </c>
      <c r="F30" s="70" t="s">
        <v>7</v>
      </c>
      <c r="G30" s="13">
        <f>ROUNDDOWN(C30*E30,0)</f>
        <v>37632</v>
      </c>
      <c r="H30" s="12" t="s">
        <v>4</v>
      </c>
      <c r="I30" s="233"/>
      <c r="J30" s="228"/>
      <c r="K30" s="39" t="s">
        <v>8</v>
      </c>
      <c r="L30" s="40"/>
      <c r="M30" s="38" t="s">
        <v>9</v>
      </c>
      <c r="N30" s="41"/>
    </row>
    <row r="31" spans="1:14" ht="15.75" thickBot="1">
      <c r="A31" s="15" t="s">
        <v>10</v>
      </c>
      <c r="B31" s="16"/>
      <c r="C31" s="17">
        <f>C5*0.8</f>
        <v>16512</v>
      </c>
      <c r="D31" s="18" t="s">
        <v>4</v>
      </c>
      <c r="E31" s="50"/>
      <c r="F31" s="70"/>
      <c r="G31" s="13">
        <f>C31</f>
        <v>16512</v>
      </c>
      <c r="H31" s="12" t="s">
        <v>4</v>
      </c>
      <c r="I31" s="234"/>
      <c r="J31" s="236"/>
      <c r="K31" s="42">
        <f>I29</f>
        <v>118787</v>
      </c>
      <c r="L31" s="43" t="s">
        <v>4</v>
      </c>
      <c r="M31" s="44">
        <f>ROUNDDOWN(K31/12,0)</f>
        <v>9898</v>
      </c>
      <c r="N31" s="45" t="s">
        <v>4</v>
      </c>
    </row>
    <row r="32" spans="1:14" ht="15.75" thickBot="1">
      <c r="A32" s="3" t="s">
        <v>11</v>
      </c>
      <c r="B32" s="4"/>
      <c r="C32" s="5"/>
      <c r="D32" s="6"/>
      <c r="E32" s="61"/>
      <c r="F32" s="71"/>
      <c r="G32" s="62"/>
      <c r="H32" s="35"/>
      <c r="I32" s="35"/>
      <c r="J32" s="35"/>
      <c r="K32" s="35"/>
      <c r="L32" s="35"/>
      <c r="M32" s="35"/>
      <c r="N32" s="37"/>
    </row>
    <row r="33" spans="1:14" ht="16.5" thickTop="1" thickBot="1">
      <c r="A33" s="7" t="s">
        <v>2</v>
      </c>
      <c r="B33" s="8"/>
      <c r="C33" s="9">
        <v>3.45</v>
      </c>
      <c r="D33" s="10" t="s">
        <v>3</v>
      </c>
      <c r="E33" s="68">
        <f>E29</f>
        <v>839530</v>
      </c>
      <c r="F33" s="70" t="s">
        <v>4</v>
      </c>
      <c r="G33" s="13">
        <f>ROUNDDOWN((C33*E33)/100,0)</f>
        <v>28963</v>
      </c>
      <c r="H33" s="12" t="s">
        <v>19</v>
      </c>
      <c r="I33" s="232">
        <f>G33+G34+G35</f>
        <v>50467</v>
      </c>
      <c r="J33" s="235" t="s">
        <v>4</v>
      </c>
      <c r="K33" s="229" t="s">
        <v>12</v>
      </c>
      <c r="L33" s="230"/>
      <c r="M33" s="230"/>
      <c r="N33" s="231"/>
    </row>
    <row r="34" spans="1:14" ht="15.75" thickTop="1">
      <c r="A34" s="11" t="s">
        <v>6</v>
      </c>
      <c r="B34" s="12"/>
      <c r="C34" s="13">
        <f>C8*0.8</f>
        <v>7488</v>
      </c>
      <c r="D34" s="14" t="s">
        <v>4</v>
      </c>
      <c r="E34" s="68">
        <f>E30</f>
        <v>2</v>
      </c>
      <c r="F34" s="70" t="s">
        <v>7</v>
      </c>
      <c r="G34" s="13">
        <f>ROUNDDOWN(C34*E34,0)</f>
        <v>14976</v>
      </c>
      <c r="H34" s="12" t="s">
        <v>19</v>
      </c>
      <c r="I34" s="233"/>
      <c r="J34" s="228"/>
      <c r="K34" s="39" t="s">
        <v>8</v>
      </c>
      <c r="L34" s="40"/>
      <c r="M34" s="38" t="s">
        <v>9</v>
      </c>
      <c r="N34" s="41"/>
    </row>
    <row r="35" spans="1:14" ht="15.75" thickBot="1">
      <c r="A35" s="15" t="s">
        <v>10</v>
      </c>
      <c r="B35" s="16"/>
      <c r="C35" s="13">
        <f>C9*0.8</f>
        <v>6528</v>
      </c>
      <c r="D35" s="18" t="s">
        <v>4</v>
      </c>
      <c r="E35" s="50"/>
      <c r="F35" s="70"/>
      <c r="G35" s="13">
        <f>C35</f>
        <v>6528</v>
      </c>
      <c r="H35" s="12" t="s">
        <v>19</v>
      </c>
      <c r="I35" s="234"/>
      <c r="J35" s="236"/>
      <c r="K35" s="42">
        <f>I33</f>
        <v>50467</v>
      </c>
      <c r="L35" s="43" t="s">
        <v>4</v>
      </c>
      <c r="M35" s="44">
        <f>ROUNDDOWN(K35/12,0)</f>
        <v>4205</v>
      </c>
      <c r="N35" s="45" t="s">
        <v>4</v>
      </c>
    </row>
    <row r="36" spans="1:14" ht="15.75" thickBot="1">
      <c r="A36" s="20" t="s">
        <v>13</v>
      </c>
      <c r="B36" s="21"/>
      <c r="C36" s="22"/>
      <c r="D36" s="23"/>
      <c r="E36" s="61"/>
      <c r="F36" s="71"/>
      <c r="G36" s="62"/>
      <c r="H36" s="35"/>
      <c r="I36" s="35"/>
      <c r="J36" s="35"/>
      <c r="K36" s="35"/>
      <c r="L36" s="35"/>
      <c r="M36" s="35"/>
      <c r="N36" s="37"/>
    </row>
    <row r="37" spans="1:14" ht="16.5" thickTop="1" thickBot="1">
      <c r="A37" s="24" t="s">
        <v>2</v>
      </c>
      <c r="B37" s="25"/>
      <c r="C37" s="26">
        <v>3.04</v>
      </c>
      <c r="D37" s="27" t="s">
        <v>3</v>
      </c>
      <c r="E37" s="66">
        <v>670000</v>
      </c>
      <c r="F37" s="70" t="s">
        <v>4</v>
      </c>
      <c r="G37" s="13">
        <f>ROUNDDOWN((C37*E37)/100,0)</f>
        <v>20368</v>
      </c>
      <c r="H37" s="12" t="s">
        <v>19</v>
      </c>
      <c r="I37" s="240">
        <f>G37+G38+G39</f>
        <v>33232</v>
      </c>
      <c r="J37" s="235" t="s">
        <v>4</v>
      </c>
      <c r="K37" s="229" t="s">
        <v>14</v>
      </c>
      <c r="L37" s="230"/>
      <c r="M37" s="230"/>
      <c r="N37" s="231"/>
    </row>
    <row r="38" spans="1:14" ht="15.75" thickTop="1">
      <c r="A38" s="11" t="s">
        <v>6</v>
      </c>
      <c r="B38" s="12"/>
      <c r="C38" s="13">
        <f t="shared" ref="C38:C39" si="0">C12*0.8</f>
        <v>8064</v>
      </c>
      <c r="D38" s="14" t="s">
        <v>4</v>
      </c>
      <c r="E38" s="67">
        <v>1</v>
      </c>
      <c r="F38" s="70" t="s">
        <v>7</v>
      </c>
      <c r="G38" s="13">
        <f>ROUNDDOWN(C38*E38,0)</f>
        <v>8064</v>
      </c>
      <c r="H38" s="12" t="s">
        <v>19</v>
      </c>
      <c r="I38" s="241"/>
      <c r="J38" s="228"/>
      <c r="K38" s="39" t="s">
        <v>8</v>
      </c>
      <c r="L38" s="40"/>
      <c r="M38" s="38" t="s">
        <v>9</v>
      </c>
      <c r="N38" s="41"/>
    </row>
    <row r="39" spans="1:14" ht="15.75" thickBot="1">
      <c r="A39" s="28" t="s">
        <v>10</v>
      </c>
      <c r="B39" s="29"/>
      <c r="C39" s="30">
        <f t="shared" si="0"/>
        <v>4800</v>
      </c>
      <c r="D39" s="31" t="s">
        <v>4</v>
      </c>
      <c r="E39" s="63"/>
      <c r="F39" s="72"/>
      <c r="G39" s="30">
        <f>C39</f>
        <v>4800</v>
      </c>
      <c r="H39" s="29" t="s">
        <v>19</v>
      </c>
      <c r="I39" s="242"/>
      <c r="J39" s="238"/>
      <c r="K39" s="42">
        <f>I37</f>
        <v>33232</v>
      </c>
      <c r="L39" s="43" t="s">
        <v>4</v>
      </c>
      <c r="M39" s="44">
        <f>ROUNDDOWN(K39/12,0)</f>
        <v>2769</v>
      </c>
      <c r="N39" s="45" t="s">
        <v>4</v>
      </c>
    </row>
    <row r="40" spans="1:14" ht="15.75" thickBot="1">
      <c r="A40" s="1"/>
      <c r="B40" s="1"/>
      <c r="C40" s="1"/>
      <c r="D40" s="1"/>
      <c r="E40" s="1"/>
      <c r="F40" s="1"/>
      <c r="G40" s="1"/>
      <c r="H40" s="1"/>
      <c r="I40" s="1"/>
      <c r="J40" s="1"/>
      <c r="K40" s="226" t="s">
        <v>15</v>
      </c>
      <c r="L40" s="227"/>
      <c r="M40" s="227"/>
      <c r="N40" s="228"/>
    </row>
    <row r="41" spans="1:14" ht="15.75" thickTop="1">
      <c r="A41" s="1"/>
      <c r="B41" s="1"/>
      <c r="C41" s="1"/>
      <c r="D41" s="1"/>
      <c r="E41" s="1"/>
      <c r="F41" s="1"/>
      <c r="G41" s="1"/>
      <c r="H41" s="1"/>
      <c r="I41" s="1"/>
      <c r="J41" s="1"/>
      <c r="K41" s="39" t="s">
        <v>8</v>
      </c>
      <c r="L41" s="40"/>
      <c r="M41" s="38" t="s">
        <v>9</v>
      </c>
      <c r="N41" s="41"/>
    </row>
    <row r="42" spans="1:14" ht="15.75" thickBot="1">
      <c r="A42" s="1"/>
      <c r="B42" s="1"/>
      <c r="C42" s="1"/>
      <c r="D42" s="1"/>
      <c r="E42" s="1"/>
      <c r="F42" s="1"/>
      <c r="G42" s="1"/>
      <c r="H42" s="1"/>
      <c r="I42" s="1"/>
      <c r="J42" s="1"/>
      <c r="K42" s="51">
        <f>K31+K35</f>
        <v>169254</v>
      </c>
      <c r="L42" s="52" t="s">
        <v>4</v>
      </c>
      <c r="M42" s="53">
        <f>ROUNDDOWN(K42/12,0)</f>
        <v>14104</v>
      </c>
      <c r="N42" s="54" t="s">
        <v>4</v>
      </c>
    </row>
    <row r="43" spans="1:14" ht="15.75" thickBot="1">
      <c r="A43" s="1"/>
      <c r="B43" s="1"/>
      <c r="C43" s="1"/>
      <c r="D43" s="1"/>
      <c r="E43" s="1"/>
      <c r="F43" s="1"/>
      <c r="G43" s="1"/>
      <c r="H43" s="1"/>
      <c r="I43" s="1"/>
      <c r="J43" s="1"/>
      <c r="K43" s="229" t="s">
        <v>14</v>
      </c>
      <c r="L43" s="230"/>
      <c r="M43" s="230"/>
      <c r="N43" s="231"/>
    </row>
    <row r="44" spans="1:14" ht="15.75" thickTop="1">
      <c r="A44" s="1"/>
      <c r="B44" s="1"/>
      <c r="C44" s="1"/>
      <c r="D44" s="1"/>
      <c r="E44" s="1"/>
      <c r="F44" s="1"/>
      <c r="G44" s="1"/>
      <c r="H44" s="1"/>
      <c r="I44" s="1"/>
      <c r="J44" s="1"/>
      <c r="K44" s="39" t="s">
        <v>8</v>
      </c>
      <c r="L44" s="40"/>
      <c r="M44" s="38" t="s">
        <v>9</v>
      </c>
      <c r="N44" s="41"/>
    </row>
    <row r="45" spans="1:14" ht="15.75" thickBot="1">
      <c r="A45" s="1"/>
      <c r="B45" s="1"/>
      <c r="C45" s="1"/>
      <c r="D45" s="1"/>
      <c r="E45" s="1"/>
      <c r="F45" s="1"/>
      <c r="G45" s="1"/>
      <c r="H45" s="1"/>
      <c r="I45" s="1"/>
      <c r="J45" s="1"/>
      <c r="K45" s="46">
        <f>K42+K39</f>
        <v>202486</v>
      </c>
      <c r="L45" s="47" t="s">
        <v>4</v>
      </c>
      <c r="M45" s="48">
        <f>ROUNDDOWN(K45/12,0)</f>
        <v>16873</v>
      </c>
      <c r="N45" s="49" t="s">
        <v>4</v>
      </c>
    </row>
    <row r="49" spans="1:17" ht="15.75" thickBot="1">
      <c r="A49" s="32" t="s">
        <v>17</v>
      </c>
      <c r="B49" s="1"/>
      <c r="C49" s="1"/>
      <c r="D49" s="1"/>
      <c r="E49" s="1"/>
      <c r="F49" s="1"/>
      <c r="G49" s="1"/>
      <c r="H49" s="1"/>
      <c r="I49" s="1"/>
      <c r="J49" s="1"/>
      <c r="K49" s="1"/>
      <c r="L49" s="1"/>
      <c r="M49" s="1"/>
      <c r="N49" s="1"/>
      <c r="O49" s="1"/>
      <c r="P49" s="1"/>
      <c r="Q49" s="1"/>
    </row>
    <row r="50" spans="1:17" ht="15.75" thickBot="1">
      <c r="A50" s="3" t="s">
        <v>1</v>
      </c>
      <c r="B50" s="4"/>
      <c r="C50" s="5"/>
      <c r="D50" s="6"/>
      <c r="E50" s="1"/>
      <c r="F50" s="1"/>
      <c r="G50" s="1"/>
      <c r="H50" s="1"/>
      <c r="I50" s="1"/>
      <c r="J50" s="1"/>
      <c r="K50" s="55"/>
      <c r="L50" s="1"/>
      <c r="M50" s="1"/>
      <c r="N50" s="1"/>
      <c r="O50" s="1"/>
      <c r="P50" s="1"/>
      <c r="Q50" s="1"/>
    </row>
    <row r="51" spans="1:17" ht="16.5" thickTop="1" thickBot="1">
      <c r="A51" s="7" t="s">
        <v>2</v>
      </c>
      <c r="B51" s="8"/>
      <c r="C51" s="9">
        <v>7.7</v>
      </c>
      <c r="D51" s="10" t="s">
        <v>3</v>
      </c>
      <c r="E51" s="66">
        <v>441699</v>
      </c>
      <c r="F51" s="69" t="s">
        <v>4</v>
      </c>
      <c r="G51" s="60">
        <f>ROUNDDOWN((C51*E51)/100,0)</f>
        <v>34010</v>
      </c>
      <c r="H51" s="59" t="s">
        <v>4</v>
      </c>
      <c r="I51" s="239">
        <f>G51+G52+G53</f>
        <v>56090</v>
      </c>
      <c r="J51" s="231" t="s">
        <v>4</v>
      </c>
      <c r="K51" s="229" t="s">
        <v>5</v>
      </c>
      <c r="L51" s="230"/>
      <c r="M51" s="230"/>
      <c r="N51" s="231"/>
      <c r="O51" s="1"/>
      <c r="P51" s="1"/>
      <c r="Q51" s="1"/>
    </row>
    <row r="52" spans="1:17" ht="15.75" thickTop="1">
      <c r="A52" s="11" t="s">
        <v>6</v>
      </c>
      <c r="B52" s="12"/>
      <c r="C52" s="13">
        <f>C4*0.5</f>
        <v>11760</v>
      </c>
      <c r="D52" s="14" t="s">
        <v>4</v>
      </c>
      <c r="E52" s="67">
        <v>1</v>
      </c>
      <c r="F52" s="70" t="s">
        <v>7</v>
      </c>
      <c r="G52" s="13">
        <f>ROUNDDOWN(C52*E52,0)</f>
        <v>11760</v>
      </c>
      <c r="H52" s="12" t="s">
        <v>4</v>
      </c>
      <c r="I52" s="233"/>
      <c r="J52" s="228"/>
      <c r="K52" s="39" t="s">
        <v>8</v>
      </c>
      <c r="L52" s="40"/>
      <c r="M52" s="38" t="s">
        <v>9</v>
      </c>
      <c r="N52" s="41"/>
      <c r="O52" s="1"/>
      <c r="P52" s="1"/>
      <c r="Q52" s="1"/>
    </row>
    <row r="53" spans="1:17" ht="15.75" thickBot="1">
      <c r="A53" s="15" t="s">
        <v>10</v>
      </c>
      <c r="B53" s="16"/>
      <c r="C53" s="17">
        <f>C5*0.5</f>
        <v>10320</v>
      </c>
      <c r="D53" s="18" t="s">
        <v>4</v>
      </c>
      <c r="E53" s="50"/>
      <c r="F53" s="70"/>
      <c r="G53" s="13">
        <f>C53</f>
        <v>10320</v>
      </c>
      <c r="H53" s="12" t="s">
        <v>4</v>
      </c>
      <c r="I53" s="234"/>
      <c r="J53" s="236"/>
      <c r="K53" s="42">
        <f>I51</f>
        <v>56090</v>
      </c>
      <c r="L53" s="43" t="s">
        <v>4</v>
      </c>
      <c r="M53" s="44">
        <f>ROUNDDOWN(K53/12,0)</f>
        <v>4674</v>
      </c>
      <c r="N53" s="45" t="s">
        <v>4</v>
      </c>
      <c r="O53" s="1"/>
      <c r="P53" s="1"/>
      <c r="Q53" s="1"/>
    </row>
    <row r="54" spans="1:17" ht="15.75" thickBot="1">
      <c r="A54" s="3" t="s">
        <v>11</v>
      </c>
      <c r="B54" s="4"/>
      <c r="C54" s="5"/>
      <c r="D54" s="6"/>
      <c r="E54" s="61"/>
      <c r="F54" s="71"/>
      <c r="G54" s="62"/>
      <c r="H54" s="35"/>
      <c r="I54" s="35"/>
      <c r="J54" s="35"/>
      <c r="K54" s="35"/>
      <c r="L54" s="35"/>
      <c r="M54" s="35"/>
      <c r="N54" s="37"/>
      <c r="O54" s="1"/>
      <c r="P54" s="1"/>
      <c r="Q54" s="1"/>
    </row>
    <row r="55" spans="1:17" ht="16.5" thickTop="1" thickBot="1">
      <c r="A55" s="7" t="s">
        <v>2</v>
      </c>
      <c r="B55" s="8"/>
      <c r="C55" s="9">
        <v>3.45</v>
      </c>
      <c r="D55" s="10" t="s">
        <v>3</v>
      </c>
      <c r="E55" s="68">
        <f>E51</f>
        <v>441699</v>
      </c>
      <c r="F55" s="70" t="s">
        <v>4</v>
      </c>
      <c r="G55" s="13">
        <f>ROUNDDOWN((C55*E55)/100,0)</f>
        <v>15238</v>
      </c>
      <c r="H55" s="12" t="s">
        <v>19</v>
      </c>
      <c r="I55" s="232">
        <f>G55+G56+G57</f>
        <v>23998</v>
      </c>
      <c r="J55" s="235" t="s">
        <v>4</v>
      </c>
      <c r="K55" s="229" t="s">
        <v>12</v>
      </c>
      <c r="L55" s="230"/>
      <c r="M55" s="230"/>
      <c r="N55" s="231"/>
      <c r="O55" s="19"/>
      <c r="P55" s="1"/>
      <c r="Q55" s="2"/>
    </row>
    <row r="56" spans="1:17" ht="15.75" thickTop="1">
      <c r="A56" s="11" t="s">
        <v>6</v>
      </c>
      <c r="B56" s="12"/>
      <c r="C56" s="13">
        <f t="shared" ref="C56:C57" si="1">C8*0.5</f>
        <v>4680</v>
      </c>
      <c r="D56" s="14" t="s">
        <v>4</v>
      </c>
      <c r="E56" s="68">
        <f>E52</f>
        <v>1</v>
      </c>
      <c r="F56" s="70" t="s">
        <v>7</v>
      </c>
      <c r="G56" s="13">
        <f>ROUNDDOWN(C56*E56,0)</f>
        <v>4680</v>
      </c>
      <c r="H56" s="12" t="s">
        <v>19</v>
      </c>
      <c r="I56" s="233"/>
      <c r="J56" s="228"/>
      <c r="K56" s="39" t="s">
        <v>8</v>
      </c>
      <c r="L56" s="40"/>
      <c r="M56" s="38" t="s">
        <v>9</v>
      </c>
      <c r="N56" s="41"/>
      <c r="O56" s="1"/>
      <c r="P56" s="1"/>
      <c r="Q56" s="1"/>
    </row>
    <row r="57" spans="1:17" ht="15.75" thickBot="1">
      <c r="A57" s="15" t="s">
        <v>10</v>
      </c>
      <c r="B57" s="16"/>
      <c r="C57" s="17">
        <f t="shared" si="1"/>
        <v>4080</v>
      </c>
      <c r="D57" s="18" t="s">
        <v>4</v>
      </c>
      <c r="E57" s="50"/>
      <c r="F57" s="70"/>
      <c r="G57" s="13">
        <f>C57</f>
        <v>4080</v>
      </c>
      <c r="H57" s="12" t="s">
        <v>19</v>
      </c>
      <c r="I57" s="234"/>
      <c r="J57" s="236"/>
      <c r="K57" s="42">
        <f>I55</f>
        <v>23998</v>
      </c>
      <c r="L57" s="43" t="s">
        <v>4</v>
      </c>
      <c r="M57" s="44">
        <f>ROUNDDOWN(K57/12,0)</f>
        <v>1999</v>
      </c>
      <c r="N57" s="45" t="s">
        <v>4</v>
      </c>
      <c r="O57" s="1"/>
      <c r="P57" s="1"/>
      <c r="Q57" s="1"/>
    </row>
    <row r="58" spans="1:17" ht="15.75" thickBot="1">
      <c r="A58" s="20" t="s">
        <v>13</v>
      </c>
      <c r="B58" s="21"/>
      <c r="C58" s="22"/>
      <c r="D58" s="23"/>
      <c r="E58" s="61"/>
      <c r="F58" s="71"/>
      <c r="G58" s="62"/>
      <c r="H58" s="35"/>
      <c r="I58" s="35"/>
      <c r="J58" s="35"/>
      <c r="K58" s="35"/>
      <c r="L58" s="35"/>
      <c r="M58" s="35"/>
      <c r="N58" s="37"/>
      <c r="O58" s="1"/>
      <c r="P58" s="1"/>
      <c r="Q58" s="1"/>
    </row>
    <row r="59" spans="1:17" ht="16.5" thickTop="1" thickBot="1">
      <c r="A59" s="24" t="s">
        <v>2</v>
      </c>
      <c r="B59" s="25"/>
      <c r="C59" s="26">
        <v>3.04</v>
      </c>
      <c r="D59" s="27" t="s">
        <v>3</v>
      </c>
      <c r="E59" s="66">
        <v>0</v>
      </c>
      <c r="F59" s="70" t="s">
        <v>4</v>
      </c>
      <c r="G59" s="13">
        <f>ROUNDDOWN((C59*E59)/100,0)</f>
        <v>0</v>
      </c>
      <c r="H59" s="12" t="s">
        <v>19</v>
      </c>
      <c r="I59" s="240">
        <f>G59+G60+G61</f>
        <v>3000</v>
      </c>
      <c r="J59" s="235" t="s">
        <v>4</v>
      </c>
      <c r="K59" s="229" t="s">
        <v>14</v>
      </c>
      <c r="L59" s="230"/>
      <c r="M59" s="230"/>
      <c r="N59" s="231"/>
      <c r="O59" s="1"/>
      <c r="P59" s="1"/>
      <c r="Q59" s="1"/>
    </row>
    <row r="60" spans="1:17" ht="15.75" thickTop="1">
      <c r="A60" s="11" t="s">
        <v>6</v>
      </c>
      <c r="B60" s="12"/>
      <c r="C60" s="13">
        <f t="shared" ref="C60:C61" si="2">C12*0.5</f>
        <v>5040</v>
      </c>
      <c r="D60" s="14" t="s">
        <v>4</v>
      </c>
      <c r="E60" s="67">
        <v>0</v>
      </c>
      <c r="F60" s="70" t="s">
        <v>7</v>
      </c>
      <c r="G60" s="13">
        <f>ROUNDDOWN(C60*E60,0)</f>
        <v>0</v>
      </c>
      <c r="H60" s="12" t="s">
        <v>19</v>
      </c>
      <c r="I60" s="241"/>
      <c r="J60" s="228"/>
      <c r="K60" s="39" t="s">
        <v>8</v>
      </c>
      <c r="L60" s="40"/>
      <c r="M60" s="38" t="s">
        <v>9</v>
      </c>
      <c r="N60" s="41"/>
      <c r="O60" s="1"/>
      <c r="P60" s="1"/>
      <c r="Q60" s="1"/>
    </row>
    <row r="61" spans="1:17" ht="15.75" thickBot="1">
      <c r="A61" s="28" t="s">
        <v>10</v>
      </c>
      <c r="B61" s="29"/>
      <c r="C61" s="30">
        <f t="shared" si="2"/>
        <v>3000</v>
      </c>
      <c r="D61" s="31" t="s">
        <v>4</v>
      </c>
      <c r="E61" s="63"/>
      <c r="F61" s="72"/>
      <c r="G61" s="30">
        <f>C61</f>
        <v>3000</v>
      </c>
      <c r="H61" s="29" t="s">
        <v>19</v>
      </c>
      <c r="I61" s="242"/>
      <c r="J61" s="238"/>
      <c r="K61" s="42">
        <f>I59</f>
        <v>3000</v>
      </c>
      <c r="L61" s="43" t="s">
        <v>4</v>
      </c>
      <c r="M61" s="44">
        <f>ROUNDDOWN(K61/12,0)</f>
        <v>250</v>
      </c>
      <c r="N61" s="45" t="s">
        <v>4</v>
      </c>
      <c r="O61" s="1"/>
      <c r="P61" s="1"/>
      <c r="Q61" s="1"/>
    </row>
    <row r="62" spans="1:17" ht="15.75" thickBot="1">
      <c r="A62" s="1"/>
      <c r="B62" s="1"/>
      <c r="C62" s="1"/>
      <c r="D62" s="1"/>
      <c r="E62" s="1"/>
      <c r="F62" s="1"/>
      <c r="G62" s="1"/>
      <c r="H62" s="1"/>
      <c r="I62" s="1"/>
      <c r="J62" s="1"/>
      <c r="K62" s="226" t="s">
        <v>15</v>
      </c>
      <c r="L62" s="227"/>
      <c r="M62" s="227"/>
      <c r="N62" s="228"/>
      <c r="O62" s="1"/>
      <c r="P62" s="1"/>
      <c r="Q62" s="1"/>
    </row>
    <row r="63" spans="1:17" ht="15.75" thickTop="1">
      <c r="A63" s="1"/>
      <c r="B63" s="1"/>
      <c r="C63" s="1"/>
      <c r="D63" s="1"/>
      <c r="E63" s="1"/>
      <c r="F63" s="1"/>
      <c r="G63" s="1"/>
      <c r="H63" s="1"/>
      <c r="I63" s="1"/>
      <c r="J63" s="1"/>
      <c r="K63" s="39" t="s">
        <v>8</v>
      </c>
      <c r="L63" s="40"/>
      <c r="M63" s="38" t="s">
        <v>9</v>
      </c>
      <c r="N63" s="41"/>
      <c r="O63" s="1"/>
      <c r="P63" s="1"/>
      <c r="Q63" s="1"/>
    </row>
    <row r="64" spans="1:17" ht="15.75" thickBot="1">
      <c r="A64" s="1"/>
      <c r="B64" s="1"/>
      <c r="C64" s="1"/>
      <c r="D64" s="1"/>
      <c r="E64" s="1"/>
      <c r="F64" s="1"/>
      <c r="G64" s="1"/>
      <c r="H64" s="1"/>
      <c r="I64" s="1"/>
      <c r="J64" s="1"/>
      <c r="K64" s="51">
        <f>K53+K57</f>
        <v>80088</v>
      </c>
      <c r="L64" s="52" t="s">
        <v>4</v>
      </c>
      <c r="M64" s="53">
        <f>ROUNDDOWN(K64/12,0)</f>
        <v>6674</v>
      </c>
      <c r="N64" s="54" t="s">
        <v>4</v>
      </c>
      <c r="O64" s="1"/>
      <c r="P64" s="1"/>
      <c r="Q64" s="1"/>
    </row>
    <row r="65" spans="1:14" ht="15.75" thickBot="1">
      <c r="A65" s="1"/>
      <c r="B65" s="1"/>
      <c r="C65" s="1"/>
      <c r="D65" s="1"/>
      <c r="E65" s="1"/>
      <c r="F65" s="1"/>
      <c r="G65" s="1"/>
      <c r="H65" s="1"/>
      <c r="I65" s="1"/>
      <c r="J65" s="1"/>
      <c r="K65" s="229" t="s">
        <v>14</v>
      </c>
      <c r="L65" s="230"/>
      <c r="M65" s="230"/>
      <c r="N65" s="231"/>
    </row>
    <row r="66" spans="1:14" ht="15.75" thickTop="1">
      <c r="A66" s="1"/>
      <c r="B66" s="1"/>
      <c r="C66" s="1"/>
      <c r="D66" s="1"/>
      <c r="E66" s="1"/>
      <c r="F66" s="1"/>
      <c r="G66" s="1"/>
      <c r="H66" s="1"/>
      <c r="I66" s="1"/>
      <c r="J66" s="1"/>
      <c r="K66" s="39" t="s">
        <v>8</v>
      </c>
      <c r="L66" s="40"/>
      <c r="M66" s="38" t="s">
        <v>9</v>
      </c>
      <c r="N66" s="41"/>
    </row>
    <row r="67" spans="1:14" ht="15.75" thickBot="1">
      <c r="A67" s="1"/>
      <c r="B67" s="1"/>
      <c r="C67" s="1"/>
      <c r="D67" s="1"/>
      <c r="E67" s="1"/>
      <c r="F67" s="1"/>
      <c r="G67" s="1"/>
      <c r="H67" s="1"/>
      <c r="I67" s="1"/>
      <c r="J67" s="1"/>
      <c r="K67" s="46">
        <f>K64+K61</f>
        <v>83088</v>
      </c>
      <c r="L67" s="47" t="s">
        <v>4</v>
      </c>
      <c r="M67" s="48">
        <f>ROUNDDOWN(K67/12,0)</f>
        <v>6924</v>
      </c>
      <c r="N67" s="49" t="s">
        <v>4</v>
      </c>
    </row>
    <row r="75" spans="1:14" ht="15.75" thickBot="1">
      <c r="A75" s="32" t="s">
        <v>18</v>
      </c>
      <c r="B75" s="1"/>
      <c r="C75" s="1"/>
      <c r="D75" s="1"/>
      <c r="E75" s="1"/>
      <c r="F75" s="1"/>
      <c r="G75" s="1"/>
      <c r="H75" s="1"/>
      <c r="I75" s="1"/>
      <c r="J75" s="1"/>
      <c r="K75" s="1"/>
      <c r="L75" s="1"/>
      <c r="M75" s="1"/>
      <c r="N75" s="1"/>
    </row>
    <row r="76" spans="1:14" ht="15.75" thickBot="1">
      <c r="A76" s="3" t="s">
        <v>1</v>
      </c>
      <c r="B76" s="4"/>
      <c r="C76" s="5"/>
      <c r="D76" s="6"/>
      <c r="E76" s="1"/>
      <c r="F76" s="1"/>
      <c r="G76" s="1"/>
      <c r="H76" s="1"/>
      <c r="I76" s="33"/>
      <c r="J76" s="33"/>
      <c r="K76" s="243" t="s">
        <v>5</v>
      </c>
      <c r="L76" s="244"/>
      <c r="M76" s="244"/>
      <c r="N76" s="245"/>
    </row>
    <row r="77" spans="1:14" ht="15.75" thickTop="1">
      <c r="A77" s="11" t="s">
        <v>6</v>
      </c>
      <c r="B77" s="12"/>
      <c r="C77" s="13">
        <f>C4*0.3</f>
        <v>7056</v>
      </c>
      <c r="D77" s="14" t="s">
        <v>4</v>
      </c>
      <c r="E77" s="66">
        <v>1</v>
      </c>
      <c r="F77" s="59" t="s">
        <v>7</v>
      </c>
      <c r="G77" s="60">
        <f>ROUNDDOWN(C77*E77,0)</f>
        <v>7056</v>
      </c>
      <c r="H77" s="59" t="s">
        <v>4</v>
      </c>
      <c r="I77" s="239">
        <f>G77+G78</f>
        <v>13248</v>
      </c>
      <c r="J77" s="231" t="s">
        <v>4</v>
      </c>
      <c r="K77" s="34" t="s">
        <v>8</v>
      </c>
      <c r="L77" s="35"/>
      <c r="M77" s="36" t="s">
        <v>9</v>
      </c>
      <c r="N77" s="37"/>
    </row>
    <row r="78" spans="1:14" ht="15.75" thickBot="1">
      <c r="A78" s="15" t="s">
        <v>10</v>
      </c>
      <c r="B78" s="16"/>
      <c r="C78" s="17">
        <f>C5*0.3</f>
        <v>6192</v>
      </c>
      <c r="D78" s="18" t="s">
        <v>4</v>
      </c>
      <c r="E78" s="50"/>
      <c r="F78" s="12"/>
      <c r="G78" s="13">
        <f>C78</f>
        <v>6192</v>
      </c>
      <c r="H78" s="12" t="s">
        <v>4</v>
      </c>
      <c r="I78" s="234"/>
      <c r="J78" s="236"/>
      <c r="K78" s="42">
        <f>I77</f>
        <v>13248</v>
      </c>
      <c r="L78" s="43" t="s">
        <v>4</v>
      </c>
      <c r="M78" s="44">
        <f>ROUNDDOWN(K78/12,0)</f>
        <v>1104</v>
      </c>
      <c r="N78" s="45" t="s">
        <v>4</v>
      </c>
    </row>
    <row r="79" spans="1:14" ht="15.75" thickBot="1">
      <c r="A79" s="3" t="s">
        <v>11</v>
      </c>
      <c r="B79" s="4"/>
      <c r="C79" s="5"/>
      <c r="D79" s="6"/>
      <c r="E79" s="61"/>
      <c r="F79" s="35"/>
      <c r="G79" s="62"/>
      <c r="H79" s="35"/>
      <c r="I79" s="64"/>
      <c r="J79" s="65"/>
      <c r="K79" s="243" t="s">
        <v>12</v>
      </c>
      <c r="L79" s="244"/>
      <c r="M79" s="244"/>
      <c r="N79" s="245"/>
    </row>
    <row r="80" spans="1:14" ht="15.75" thickTop="1">
      <c r="A80" s="11" t="s">
        <v>6</v>
      </c>
      <c r="B80" s="12"/>
      <c r="C80" s="74">
        <f>C8*0.3</f>
        <v>2808</v>
      </c>
      <c r="D80" s="14" t="s">
        <v>4</v>
      </c>
      <c r="E80" s="68">
        <f>E77</f>
        <v>1</v>
      </c>
      <c r="F80" s="12" t="s">
        <v>7</v>
      </c>
      <c r="G80" s="73">
        <f>ROUNDDOWN(C80*E80,0)</f>
        <v>2808</v>
      </c>
      <c r="H80" s="12" t="s">
        <v>4</v>
      </c>
      <c r="I80" s="232">
        <f>G80+G81</f>
        <v>5256</v>
      </c>
      <c r="J80" s="235" t="s">
        <v>4</v>
      </c>
      <c r="K80" s="34" t="s">
        <v>8</v>
      </c>
      <c r="L80" s="35"/>
      <c r="M80" s="36" t="s">
        <v>9</v>
      </c>
      <c r="N80" s="37"/>
    </row>
    <row r="81" spans="1:14" ht="15.75" thickBot="1">
      <c r="A81" s="15" t="s">
        <v>10</v>
      </c>
      <c r="B81" s="16"/>
      <c r="C81" s="17">
        <f>C9*0.3</f>
        <v>2448</v>
      </c>
      <c r="D81" s="18" t="s">
        <v>4</v>
      </c>
      <c r="E81" s="50"/>
      <c r="F81" s="12"/>
      <c r="G81" s="13">
        <f>C81</f>
        <v>2448</v>
      </c>
      <c r="H81" s="12" t="s">
        <v>4</v>
      </c>
      <c r="I81" s="234"/>
      <c r="J81" s="236"/>
      <c r="K81" s="42">
        <f>I80</f>
        <v>5256</v>
      </c>
      <c r="L81" s="43" t="s">
        <v>4</v>
      </c>
      <c r="M81" s="44">
        <f>ROUNDDOWN(K81/12,0)</f>
        <v>438</v>
      </c>
      <c r="N81" s="45" t="s">
        <v>4</v>
      </c>
    </row>
    <row r="82" spans="1:14" ht="15.75" thickBot="1">
      <c r="A82" s="20" t="s">
        <v>13</v>
      </c>
      <c r="B82" s="21"/>
      <c r="C82" s="22"/>
      <c r="D82" s="23"/>
      <c r="E82" s="61"/>
      <c r="F82" s="35"/>
      <c r="G82" s="62"/>
      <c r="H82" s="35"/>
      <c r="I82" s="64"/>
      <c r="J82" s="65"/>
      <c r="K82" s="243" t="s">
        <v>14</v>
      </c>
      <c r="L82" s="244"/>
      <c r="M82" s="244"/>
      <c r="N82" s="245"/>
    </row>
    <row r="83" spans="1:14" ht="15.75" thickTop="1">
      <c r="A83" s="11" t="s">
        <v>6</v>
      </c>
      <c r="B83" s="12"/>
      <c r="C83" s="74">
        <f>C12*0.3</f>
        <v>3024</v>
      </c>
      <c r="D83" s="14" t="s">
        <v>4</v>
      </c>
      <c r="E83" s="67">
        <v>1</v>
      </c>
      <c r="F83" s="12" t="s">
        <v>7</v>
      </c>
      <c r="G83" s="13">
        <f>ROUNDDOWN(C83*E83,0)</f>
        <v>3024</v>
      </c>
      <c r="H83" s="12" t="s">
        <v>4</v>
      </c>
      <c r="I83" s="232">
        <f>G83+G84</f>
        <v>4824</v>
      </c>
      <c r="J83" s="235" t="s">
        <v>4</v>
      </c>
      <c r="K83" s="34" t="s">
        <v>8</v>
      </c>
      <c r="L83" s="35"/>
      <c r="M83" s="36" t="s">
        <v>9</v>
      </c>
      <c r="N83" s="37"/>
    </row>
    <row r="84" spans="1:14" ht="15.75" thickBot="1">
      <c r="A84" s="28" t="s">
        <v>10</v>
      </c>
      <c r="B84" s="29"/>
      <c r="C84" s="75">
        <f>C13*0.3</f>
        <v>1800</v>
      </c>
      <c r="D84" s="31" t="s">
        <v>4</v>
      </c>
      <c r="E84" s="63"/>
      <c r="F84" s="29"/>
      <c r="G84" s="30">
        <f>C84</f>
        <v>1800</v>
      </c>
      <c r="H84" s="29" t="s">
        <v>4</v>
      </c>
      <c r="I84" s="237"/>
      <c r="J84" s="238"/>
      <c r="K84" s="77">
        <f>I83</f>
        <v>4824</v>
      </c>
      <c r="L84" s="78" t="s">
        <v>4</v>
      </c>
      <c r="M84" s="79">
        <f>ROUNDDOWN(K84/12,0)</f>
        <v>402</v>
      </c>
      <c r="N84" s="80" t="s">
        <v>4</v>
      </c>
    </row>
    <row r="85" spans="1:14" ht="15.75" thickBot="1">
      <c r="A85" s="1"/>
      <c r="B85" s="1"/>
      <c r="C85" s="1"/>
      <c r="D85" s="1"/>
      <c r="E85" s="1"/>
      <c r="F85" s="1"/>
      <c r="G85" s="1"/>
      <c r="H85" s="1"/>
      <c r="I85" s="1"/>
      <c r="J85" s="1"/>
      <c r="K85" s="229" t="s">
        <v>15</v>
      </c>
      <c r="L85" s="230"/>
      <c r="M85" s="230"/>
      <c r="N85" s="231"/>
    </row>
    <row r="86" spans="1:14" ht="15.75" thickTop="1">
      <c r="A86" s="1"/>
      <c r="B86" s="1"/>
      <c r="C86" s="1"/>
      <c r="D86" s="1"/>
      <c r="E86" s="1"/>
      <c r="F86" s="1"/>
      <c r="G86" s="1"/>
      <c r="H86" s="1"/>
      <c r="I86" s="1"/>
      <c r="J86" s="1"/>
      <c r="K86" s="39" t="s">
        <v>8</v>
      </c>
      <c r="L86" s="40"/>
      <c r="M86" s="38" t="s">
        <v>9</v>
      </c>
      <c r="N86" s="41"/>
    </row>
    <row r="87" spans="1:14" ht="15.75" thickBot="1">
      <c r="A87" s="1"/>
      <c r="B87" s="1"/>
      <c r="C87" s="1"/>
      <c r="D87" s="1"/>
      <c r="E87" s="1"/>
      <c r="F87" s="1"/>
      <c r="G87" s="1"/>
      <c r="H87" s="1"/>
      <c r="I87" s="1"/>
      <c r="J87" s="1"/>
      <c r="K87" s="51">
        <f>K78+K81</f>
        <v>18504</v>
      </c>
      <c r="L87" s="52" t="s">
        <v>4</v>
      </c>
      <c r="M87" s="53">
        <f>ROUNDDOWN(K87/12,0)</f>
        <v>1542</v>
      </c>
      <c r="N87" s="54" t="s">
        <v>4</v>
      </c>
    </row>
    <row r="88" spans="1:14" ht="15.75" thickBot="1">
      <c r="A88" s="1"/>
      <c r="B88" s="1"/>
      <c r="C88" s="1"/>
      <c r="D88" s="1"/>
      <c r="E88" s="1"/>
      <c r="F88" s="1"/>
      <c r="G88" s="1"/>
      <c r="H88" s="1"/>
      <c r="I88" s="1"/>
      <c r="J88" s="1"/>
      <c r="K88" s="229" t="s">
        <v>14</v>
      </c>
      <c r="L88" s="230"/>
      <c r="M88" s="230"/>
      <c r="N88" s="231"/>
    </row>
    <row r="89" spans="1:14" ht="15.75" thickTop="1">
      <c r="A89" s="1"/>
      <c r="B89" s="1"/>
      <c r="C89" s="1"/>
      <c r="D89" s="1"/>
      <c r="E89" s="1"/>
      <c r="F89" s="1"/>
      <c r="G89" s="1"/>
      <c r="H89" s="1"/>
      <c r="I89" s="1"/>
      <c r="J89" s="1"/>
      <c r="K89" s="39" t="s">
        <v>8</v>
      </c>
      <c r="L89" s="40"/>
      <c r="M89" s="38" t="s">
        <v>9</v>
      </c>
      <c r="N89" s="41"/>
    </row>
    <row r="90" spans="1:14" ht="15.75" thickBot="1">
      <c r="A90" s="1"/>
      <c r="B90" s="1"/>
      <c r="C90" s="1"/>
      <c r="D90" s="1"/>
      <c r="E90" s="1"/>
      <c r="F90" s="1"/>
      <c r="G90" s="1"/>
      <c r="H90" s="1"/>
      <c r="I90" s="1"/>
      <c r="J90" s="1"/>
      <c r="K90" s="46">
        <f>K78+K81+K84</f>
        <v>23328</v>
      </c>
      <c r="L90" s="47" t="s">
        <v>4</v>
      </c>
      <c r="M90" s="48">
        <f>ROUNDDOWN(K90/12,0)</f>
        <v>1944</v>
      </c>
      <c r="N90" s="49" t="s">
        <v>4</v>
      </c>
    </row>
  </sheetData>
  <sheetProtection sheet="1" objects="1" scenarios="1" selectLockedCells="1"/>
  <protectedRanges>
    <protectedRange sqref="E83" name="範囲8"/>
    <protectedRange sqref="E77" name="範囲7"/>
    <protectedRange sqref="E59:E60" name="範囲6"/>
    <protectedRange sqref="E51:E52" name="範囲5"/>
    <protectedRange sqref="E37:E38" name="範囲4"/>
    <protectedRange sqref="E29:E30" name="範囲3"/>
    <protectedRange sqref="E11:E12" name="範囲2"/>
    <protectedRange sqref="E3:E4" name="範囲1"/>
  </protectedRanges>
  <mergeCells count="44">
    <mergeCell ref="K85:N85"/>
    <mergeCell ref="K88:N88"/>
    <mergeCell ref="J80:J81"/>
    <mergeCell ref="I59:I61"/>
    <mergeCell ref="J59:J61"/>
    <mergeCell ref="K59:N59"/>
    <mergeCell ref="K62:N62"/>
    <mergeCell ref="K65:N65"/>
    <mergeCell ref="K76:N76"/>
    <mergeCell ref="K82:N82"/>
    <mergeCell ref="I83:I84"/>
    <mergeCell ref="J83:J84"/>
    <mergeCell ref="I80:I81"/>
    <mergeCell ref="I33:I35"/>
    <mergeCell ref="J33:J35"/>
    <mergeCell ref="K33:N33"/>
    <mergeCell ref="K79:N79"/>
    <mergeCell ref="K40:N40"/>
    <mergeCell ref="K43:N43"/>
    <mergeCell ref="I51:I53"/>
    <mergeCell ref="J51:J53"/>
    <mergeCell ref="I37:I39"/>
    <mergeCell ref="J37:J39"/>
    <mergeCell ref="K55:N55"/>
    <mergeCell ref="I77:I78"/>
    <mergeCell ref="J77:J78"/>
    <mergeCell ref="I55:I57"/>
    <mergeCell ref="J55:J57"/>
    <mergeCell ref="K37:N37"/>
    <mergeCell ref="I3:I5"/>
    <mergeCell ref="J3:J5"/>
    <mergeCell ref="I29:I31"/>
    <mergeCell ref="J29:J31"/>
    <mergeCell ref="I11:I13"/>
    <mergeCell ref="J11:J13"/>
    <mergeCell ref="I7:I9"/>
    <mergeCell ref="J7:J9"/>
    <mergeCell ref="K29:N29"/>
    <mergeCell ref="K51:N51"/>
    <mergeCell ref="K3:N3"/>
    <mergeCell ref="K11:N11"/>
    <mergeCell ref="K7:N7"/>
    <mergeCell ref="K14:N14"/>
    <mergeCell ref="K17:N17"/>
  </mergeCells>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sheetPr codeName="Sheet6"/>
  <dimension ref="A1:Q90"/>
  <sheetViews>
    <sheetView workbookViewId="0">
      <selection activeCell="E3" sqref="E3"/>
    </sheetView>
  </sheetViews>
  <sheetFormatPr defaultColWidth="8.875" defaultRowHeight="17.45" customHeight="1"/>
  <cols>
    <col min="1" max="1" width="7.25" style="81" customWidth="1"/>
    <col min="2" max="2" width="2" style="81" customWidth="1"/>
    <col min="3" max="3" width="8.5" style="82" bestFit="1" customWidth="1"/>
    <col min="4" max="4" width="3.5" style="81" bestFit="1" customWidth="1"/>
    <col min="5" max="5" width="13.25" style="2" bestFit="1" customWidth="1"/>
    <col min="6" max="6" width="4.125" style="81" bestFit="1" customWidth="1"/>
    <col min="7" max="7" width="9.875" style="2" bestFit="1" customWidth="1"/>
    <col min="8" max="8" width="4.125" style="81" bestFit="1" customWidth="1"/>
    <col min="9" max="9" width="12" style="81" bestFit="1" customWidth="1"/>
    <col min="10" max="10" width="4.125" style="81" bestFit="1" customWidth="1"/>
    <col min="11" max="11" width="12" style="81" bestFit="1" customWidth="1"/>
    <col min="12" max="12" width="3.875" style="81" bestFit="1" customWidth="1"/>
    <col min="13" max="13" width="9.875" style="81" bestFit="1" customWidth="1"/>
    <col min="14" max="14" width="3.875" style="81" bestFit="1" customWidth="1"/>
    <col min="15" max="256" width="8.875" style="81"/>
    <col min="257" max="257" width="7.25" style="81" customWidth="1"/>
    <col min="258" max="258" width="2" style="81" customWidth="1"/>
    <col min="259" max="259" width="8.5" style="81" bestFit="1" customWidth="1"/>
    <col min="260" max="260" width="3.5" style="81" bestFit="1" customWidth="1"/>
    <col min="261" max="261" width="13.25" style="81" bestFit="1" customWidth="1"/>
    <col min="262" max="262" width="4.125" style="81" bestFit="1" customWidth="1"/>
    <col min="263" max="263" width="9.875" style="81" bestFit="1" customWidth="1"/>
    <col min="264" max="264" width="4.125" style="81" bestFit="1" customWidth="1"/>
    <col min="265" max="265" width="12" style="81" bestFit="1" customWidth="1"/>
    <col min="266" max="266" width="4.125" style="81" bestFit="1" customWidth="1"/>
    <col min="267" max="267" width="12" style="81" bestFit="1" customWidth="1"/>
    <col min="268" max="268" width="3.875" style="81" bestFit="1" customWidth="1"/>
    <col min="269" max="269" width="9.875" style="81" bestFit="1" customWidth="1"/>
    <col min="270" max="270" width="3.875" style="81" bestFit="1" customWidth="1"/>
    <col min="271" max="512" width="8.875" style="81"/>
    <col min="513" max="513" width="7.25" style="81" customWidth="1"/>
    <col min="514" max="514" width="2" style="81" customWidth="1"/>
    <col min="515" max="515" width="8.5" style="81" bestFit="1" customWidth="1"/>
    <col min="516" max="516" width="3.5" style="81" bestFit="1" customWidth="1"/>
    <col min="517" max="517" width="13.25" style="81" bestFit="1" customWidth="1"/>
    <col min="518" max="518" width="4.125" style="81" bestFit="1" customWidth="1"/>
    <col min="519" max="519" width="9.875" style="81" bestFit="1" customWidth="1"/>
    <col min="520" max="520" width="4.125" style="81" bestFit="1" customWidth="1"/>
    <col min="521" max="521" width="12" style="81" bestFit="1" customWidth="1"/>
    <col min="522" max="522" width="4.125" style="81" bestFit="1" customWidth="1"/>
    <col min="523" max="523" width="12" style="81" bestFit="1" customWidth="1"/>
    <col min="524" max="524" width="3.875" style="81" bestFit="1" customWidth="1"/>
    <col min="525" max="525" width="9.875" style="81" bestFit="1" customWidth="1"/>
    <col min="526" max="526" width="3.875" style="81" bestFit="1" customWidth="1"/>
    <col min="527" max="768" width="8.875" style="81"/>
    <col min="769" max="769" width="7.25" style="81" customWidth="1"/>
    <col min="770" max="770" width="2" style="81" customWidth="1"/>
    <col min="771" max="771" width="8.5" style="81" bestFit="1" customWidth="1"/>
    <col min="772" max="772" width="3.5" style="81" bestFit="1" customWidth="1"/>
    <col min="773" max="773" width="13.25" style="81" bestFit="1" customWidth="1"/>
    <col min="774" max="774" width="4.125" style="81" bestFit="1" customWidth="1"/>
    <col min="775" max="775" width="9.875" style="81" bestFit="1" customWidth="1"/>
    <col min="776" max="776" width="4.125" style="81" bestFit="1" customWidth="1"/>
    <col min="777" max="777" width="12" style="81" bestFit="1" customWidth="1"/>
    <col min="778" max="778" width="4.125" style="81" bestFit="1" customWidth="1"/>
    <col min="779" max="779" width="12" style="81" bestFit="1" customWidth="1"/>
    <col min="780" max="780" width="3.875" style="81" bestFit="1" customWidth="1"/>
    <col min="781" max="781" width="9.875" style="81" bestFit="1" customWidth="1"/>
    <col min="782" max="782" width="3.875" style="81" bestFit="1" customWidth="1"/>
    <col min="783" max="1024" width="8.875" style="81"/>
    <col min="1025" max="1025" width="7.25" style="81" customWidth="1"/>
    <col min="1026" max="1026" width="2" style="81" customWidth="1"/>
    <col min="1027" max="1027" width="8.5" style="81" bestFit="1" customWidth="1"/>
    <col min="1028" max="1028" width="3.5" style="81" bestFit="1" customWidth="1"/>
    <col min="1029" max="1029" width="13.25" style="81" bestFit="1" customWidth="1"/>
    <col min="1030" max="1030" width="4.125" style="81" bestFit="1" customWidth="1"/>
    <col min="1031" max="1031" width="9.875" style="81" bestFit="1" customWidth="1"/>
    <col min="1032" max="1032" width="4.125" style="81" bestFit="1" customWidth="1"/>
    <col min="1033" max="1033" width="12" style="81" bestFit="1" customWidth="1"/>
    <col min="1034" max="1034" width="4.125" style="81" bestFit="1" customWidth="1"/>
    <col min="1035" max="1035" width="12" style="81" bestFit="1" customWidth="1"/>
    <col min="1036" max="1036" width="3.875" style="81" bestFit="1" customWidth="1"/>
    <col min="1037" max="1037" width="9.875" style="81" bestFit="1" customWidth="1"/>
    <col min="1038" max="1038" width="3.875" style="81" bestFit="1" customWidth="1"/>
    <col min="1039" max="1280" width="8.875" style="81"/>
    <col min="1281" max="1281" width="7.25" style="81" customWidth="1"/>
    <col min="1282" max="1282" width="2" style="81" customWidth="1"/>
    <col min="1283" max="1283" width="8.5" style="81" bestFit="1" customWidth="1"/>
    <col min="1284" max="1284" width="3.5" style="81" bestFit="1" customWidth="1"/>
    <col min="1285" max="1285" width="13.25" style="81" bestFit="1" customWidth="1"/>
    <col min="1286" max="1286" width="4.125" style="81" bestFit="1" customWidth="1"/>
    <col min="1287" max="1287" width="9.875" style="81" bestFit="1" customWidth="1"/>
    <col min="1288" max="1288" width="4.125" style="81" bestFit="1" customWidth="1"/>
    <col min="1289" max="1289" width="12" style="81" bestFit="1" customWidth="1"/>
    <col min="1290" max="1290" width="4.125" style="81" bestFit="1" customWidth="1"/>
    <col min="1291" max="1291" width="12" style="81" bestFit="1" customWidth="1"/>
    <col min="1292" max="1292" width="3.875" style="81" bestFit="1" customWidth="1"/>
    <col min="1293" max="1293" width="9.875" style="81" bestFit="1" customWidth="1"/>
    <col min="1294" max="1294" width="3.875" style="81" bestFit="1" customWidth="1"/>
    <col min="1295" max="1536" width="8.875" style="81"/>
    <col min="1537" max="1537" width="7.25" style="81" customWidth="1"/>
    <col min="1538" max="1538" width="2" style="81" customWidth="1"/>
    <col min="1539" max="1539" width="8.5" style="81" bestFit="1" customWidth="1"/>
    <col min="1540" max="1540" width="3.5" style="81" bestFit="1" customWidth="1"/>
    <col min="1541" max="1541" width="13.25" style="81" bestFit="1" customWidth="1"/>
    <col min="1542" max="1542" width="4.125" style="81" bestFit="1" customWidth="1"/>
    <col min="1543" max="1543" width="9.875" style="81" bestFit="1" customWidth="1"/>
    <col min="1544" max="1544" width="4.125" style="81" bestFit="1" customWidth="1"/>
    <col min="1545" max="1545" width="12" style="81" bestFit="1" customWidth="1"/>
    <col min="1546" max="1546" width="4.125" style="81" bestFit="1" customWidth="1"/>
    <col min="1547" max="1547" width="12" style="81" bestFit="1" customWidth="1"/>
    <col min="1548" max="1548" width="3.875" style="81" bestFit="1" customWidth="1"/>
    <col min="1549" max="1549" width="9.875" style="81" bestFit="1" customWidth="1"/>
    <col min="1550" max="1550" width="3.875" style="81" bestFit="1" customWidth="1"/>
    <col min="1551" max="1792" width="8.875" style="81"/>
    <col min="1793" max="1793" width="7.25" style="81" customWidth="1"/>
    <col min="1794" max="1794" width="2" style="81" customWidth="1"/>
    <col min="1795" max="1795" width="8.5" style="81" bestFit="1" customWidth="1"/>
    <col min="1796" max="1796" width="3.5" style="81" bestFit="1" customWidth="1"/>
    <col min="1797" max="1797" width="13.25" style="81" bestFit="1" customWidth="1"/>
    <col min="1798" max="1798" width="4.125" style="81" bestFit="1" customWidth="1"/>
    <col min="1799" max="1799" width="9.875" style="81" bestFit="1" customWidth="1"/>
    <col min="1800" max="1800" width="4.125" style="81" bestFit="1" customWidth="1"/>
    <col min="1801" max="1801" width="12" style="81" bestFit="1" customWidth="1"/>
    <col min="1802" max="1802" width="4.125" style="81" bestFit="1" customWidth="1"/>
    <col min="1803" max="1803" width="12" style="81" bestFit="1" customWidth="1"/>
    <col min="1804" max="1804" width="3.875" style="81" bestFit="1" customWidth="1"/>
    <col min="1805" max="1805" width="9.875" style="81" bestFit="1" customWidth="1"/>
    <col min="1806" max="1806" width="3.875" style="81" bestFit="1" customWidth="1"/>
    <col min="1807" max="2048" width="8.875" style="81"/>
    <col min="2049" max="2049" width="7.25" style="81" customWidth="1"/>
    <col min="2050" max="2050" width="2" style="81" customWidth="1"/>
    <col min="2051" max="2051" width="8.5" style="81" bestFit="1" customWidth="1"/>
    <col min="2052" max="2052" width="3.5" style="81" bestFit="1" customWidth="1"/>
    <col min="2053" max="2053" width="13.25" style="81" bestFit="1" customWidth="1"/>
    <col min="2054" max="2054" width="4.125" style="81" bestFit="1" customWidth="1"/>
    <col min="2055" max="2055" width="9.875" style="81" bestFit="1" customWidth="1"/>
    <col min="2056" max="2056" width="4.125" style="81" bestFit="1" customWidth="1"/>
    <col min="2057" max="2057" width="12" style="81" bestFit="1" customWidth="1"/>
    <col min="2058" max="2058" width="4.125" style="81" bestFit="1" customWidth="1"/>
    <col min="2059" max="2059" width="12" style="81" bestFit="1" customWidth="1"/>
    <col min="2060" max="2060" width="3.875" style="81" bestFit="1" customWidth="1"/>
    <col min="2061" max="2061" width="9.875" style="81" bestFit="1" customWidth="1"/>
    <col min="2062" max="2062" width="3.875" style="81" bestFit="1" customWidth="1"/>
    <col min="2063" max="2304" width="8.875" style="81"/>
    <col min="2305" max="2305" width="7.25" style="81" customWidth="1"/>
    <col min="2306" max="2306" width="2" style="81" customWidth="1"/>
    <col min="2307" max="2307" width="8.5" style="81" bestFit="1" customWidth="1"/>
    <col min="2308" max="2308" width="3.5" style="81" bestFit="1" customWidth="1"/>
    <col min="2309" max="2309" width="13.25" style="81" bestFit="1" customWidth="1"/>
    <col min="2310" max="2310" width="4.125" style="81" bestFit="1" customWidth="1"/>
    <col min="2311" max="2311" width="9.875" style="81" bestFit="1" customWidth="1"/>
    <col min="2312" max="2312" width="4.125" style="81" bestFit="1" customWidth="1"/>
    <col min="2313" max="2313" width="12" style="81" bestFit="1" customWidth="1"/>
    <col min="2314" max="2314" width="4.125" style="81" bestFit="1" customWidth="1"/>
    <col min="2315" max="2315" width="12" style="81" bestFit="1" customWidth="1"/>
    <col min="2316" max="2316" width="3.875" style="81" bestFit="1" customWidth="1"/>
    <col min="2317" max="2317" width="9.875" style="81" bestFit="1" customWidth="1"/>
    <col min="2318" max="2318" width="3.875" style="81" bestFit="1" customWidth="1"/>
    <col min="2319" max="2560" width="8.875" style="81"/>
    <col min="2561" max="2561" width="7.25" style="81" customWidth="1"/>
    <col min="2562" max="2562" width="2" style="81" customWidth="1"/>
    <col min="2563" max="2563" width="8.5" style="81" bestFit="1" customWidth="1"/>
    <col min="2564" max="2564" width="3.5" style="81" bestFit="1" customWidth="1"/>
    <col min="2565" max="2565" width="13.25" style="81" bestFit="1" customWidth="1"/>
    <col min="2566" max="2566" width="4.125" style="81" bestFit="1" customWidth="1"/>
    <col min="2567" max="2567" width="9.875" style="81" bestFit="1" customWidth="1"/>
    <col min="2568" max="2568" width="4.125" style="81" bestFit="1" customWidth="1"/>
    <col min="2569" max="2569" width="12" style="81" bestFit="1" customWidth="1"/>
    <col min="2570" max="2570" width="4.125" style="81" bestFit="1" customWidth="1"/>
    <col min="2571" max="2571" width="12" style="81" bestFit="1" customWidth="1"/>
    <col min="2572" max="2572" width="3.875" style="81" bestFit="1" customWidth="1"/>
    <col min="2573" max="2573" width="9.875" style="81" bestFit="1" customWidth="1"/>
    <col min="2574" max="2574" width="3.875" style="81" bestFit="1" customWidth="1"/>
    <col min="2575" max="2816" width="8.875" style="81"/>
    <col min="2817" max="2817" width="7.25" style="81" customWidth="1"/>
    <col min="2818" max="2818" width="2" style="81" customWidth="1"/>
    <col min="2819" max="2819" width="8.5" style="81" bestFit="1" customWidth="1"/>
    <col min="2820" max="2820" width="3.5" style="81" bestFit="1" customWidth="1"/>
    <col min="2821" max="2821" width="13.25" style="81" bestFit="1" customWidth="1"/>
    <col min="2822" max="2822" width="4.125" style="81" bestFit="1" customWidth="1"/>
    <col min="2823" max="2823" width="9.875" style="81" bestFit="1" customWidth="1"/>
    <col min="2824" max="2824" width="4.125" style="81" bestFit="1" customWidth="1"/>
    <col min="2825" max="2825" width="12" style="81" bestFit="1" customWidth="1"/>
    <col min="2826" max="2826" width="4.125" style="81" bestFit="1" customWidth="1"/>
    <col min="2827" max="2827" width="12" style="81" bestFit="1" customWidth="1"/>
    <col min="2828" max="2828" width="3.875" style="81" bestFit="1" customWidth="1"/>
    <col min="2829" max="2829" width="9.875" style="81" bestFit="1" customWidth="1"/>
    <col min="2830" max="2830" width="3.875" style="81" bestFit="1" customWidth="1"/>
    <col min="2831" max="3072" width="8.875" style="81"/>
    <col min="3073" max="3073" width="7.25" style="81" customWidth="1"/>
    <col min="3074" max="3074" width="2" style="81" customWidth="1"/>
    <col min="3075" max="3075" width="8.5" style="81" bestFit="1" customWidth="1"/>
    <col min="3076" max="3076" width="3.5" style="81" bestFit="1" customWidth="1"/>
    <col min="3077" max="3077" width="13.25" style="81" bestFit="1" customWidth="1"/>
    <col min="3078" max="3078" width="4.125" style="81" bestFit="1" customWidth="1"/>
    <col min="3079" max="3079" width="9.875" style="81" bestFit="1" customWidth="1"/>
    <col min="3080" max="3080" width="4.125" style="81" bestFit="1" customWidth="1"/>
    <col min="3081" max="3081" width="12" style="81" bestFit="1" customWidth="1"/>
    <col min="3082" max="3082" width="4.125" style="81" bestFit="1" customWidth="1"/>
    <col min="3083" max="3083" width="12" style="81" bestFit="1" customWidth="1"/>
    <col min="3084" max="3084" width="3.875" style="81" bestFit="1" customWidth="1"/>
    <col min="3085" max="3085" width="9.875" style="81" bestFit="1" customWidth="1"/>
    <col min="3086" max="3086" width="3.875" style="81" bestFit="1" customWidth="1"/>
    <col min="3087" max="3328" width="8.875" style="81"/>
    <col min="3329" max="3329" width="7.25" style="81" customWidth="1"/>
    <col min="3330" max="3330" width="2" style="81" customWidth="1"/>
    <col min="3331" max="3331" width="8.5" style="81" bestFit="1" customWidth="1"/>
    <col min="3332" max="3332" width="3.5" style="81" bestFit="1" customWidth="1"/>
    <col min="3333" max="3333" width="13.25" style="81" bestFit="1" customWidth="1"/>
    <col min="3334" max="3334" width="4.125" style="81" bestFit="1" customWidth="1"/>
    <col min="3335" max="3335" width="9.875" style="81" bestFit="1" customWidth="1"/>
    <col min="3336" max="3336" width="4.125" style="81" bestFit="1" customWidth="1"/>
    <col min="3337" max="3337" width="12" style="81" bestFit="1" customWidth="1"/>
    <col min="3338" max="3338" width="4.125" style="81" bestFit="1" customWidth="1"/>
    <col min="3339" max="3339" width="12" style="81" bestFit="1" customWidth="1"/>
    <col min="3340" max="3340" width="3.875" style="81" bestFit="1" customWidth="1"/>
    <col min="3341" max="3341" width="9.875" style="81" bestFit="1" customWidth="1"/>
    <col min="3342" max="3342" width="3.875" style="81" bestFit="1" customWidth="1"/>
    <col min="3343" max="3584" width="8.875" style="81"/>
    <col min="3585" max="3585" width="7.25" style="81" customWidth="1"/>
    <col min="3586" max="3586" width="2" style="81" customWidth="1"/>
    <col min="3587" max="3587" width="8.5" style="81" bestFit="1" customWidth="1"/>
    <col min="3588" max="3588" width="3.5" style="81" bestFit="1" customWidth="1"/>
    <col min="3589" max="3589" width="13.25" style="81" bestFit="1" customWidth="1"/>
    <col min="3590" max="3590" width="4.125" style="81" bestFit="1" customWidth="1"/>
    <col min="3591" max="3591" width="9.875" style="81" bestFit="1" customWidth="1"/>
    <col min="3592" max="3592" width="4.125" style="81" bestFit="1" customWidth="1"/>
    <col min="3593" max="3593" width="12" style="81" bestFit="1" customWidth="1"/>
    <col min="3594" max="3594" width="4.125" style="81" bestFit="1" customWidth="1"/>
    <col min="3595" max="3595" width="12" style="81" bestFit="1" customWidth="1"/>
    <col min="3596" max="3596" width="3.875" style="81" bestFit="1" customWidth="1"/>
    <col min="3597" max="3597" width="9.875" style="81" bestFit="1" customWidth="1"/>
    <col min="3598" max="3598" width="3.875" style="81" bestFit="1" customWidth="1"/>
    <col min="3599" max="3840" width="8.875" style="81"/>
    <col min="3841" max="3841" width="7.25" style="81" customWidth="1"/>
    <col min="3842" max="3842" width="2" style="81" customWidth="1"/>
    <col min="3843" max="3843" width="8.5" style="81" bestFit="1" customWidth="1"/>
    <col min="3844" max="3844" width="3.5" style="81" bestFit="1" customWidth="1"/>
    <col min="3845" max="3845" width="13.25" style="81" bestFit="1" customWidth="1"/>
    <col min="3846" max="3846" width="4.125" style="81" bestFit="1" customWidth="1"/>
    <col min="3847" max="3847" width="9.875" style="81" bestFit="1" customWidth="1"/>
    <col min="3848" max="3848" width="4.125" style="81" bestFit="1" customWidth="1"/>
    <col min="3849" max="3849" width="12" style="81" bestFit="1" customWidth="1"/>
    <col min="3850" max="3850" width="4.125" style="81" bestFit="1" customWidth="1"/>
    <col min="3851" max="3851" width="12" style="81" bestFit="1" customWidth="1"/>
    <col min="3852" max="3852" width="3.875" style="81" bestFit="1" customWidth="1"/>
    <col min="3853" max="3853" width="9.875" style="81" bestFit="1" customWidth="1"/>
    <col min="3854" max="3854" width="3.875" style="81" bestFit="1" customWidth="1"/>
    <col min="3855" max="4096" width="8.875" style="81"/>
    <col min="4097" max="4097" width="7.25" style="81" customWidth="1"/>
    <col min="4098" max="4098" width="2" style="81" customWidth="1"/>
    <col min="4099" max="4099" width="8.5" style="81" bestFit="1" customWidth="1"/>
    <col min="4100" max="4100" width="3.5" style="81" bestFit="1" customWidth="1"/>
    <col min="4101" max="4101" width="13.25" style="81" bestFit="1" customWidth="1"/>
    <col min="4102" max="4102" width="4.125" style="81" bestFit="1" customWidth="1"/>
    <col min="4103" max="4103" width="9.875" style="81" bestFit="1" customWidth="1"/>
    <col min="4104" max="4104" width="4.125" style="81" bestFit="1" customWidth="1"/>
    <col min="4105" max="4105" width="12" style="81" bestFit="1" customWidth="1"/>
    <col min="4106" max="4106" width="4.125" style="81" bestFit="1" customWidth="1"/>
    <col min="4107" max="4107" width="12" style="81" bestFit="1" customWidth="1"/>
    <col min="4108" max="4108" width="3.875" style="81" bestFit="1" customWidth="1"/>
    <col min="4109" max="4109" width="9.875" style="81" bestFit="1" customWidth="1"/>
    <col min="4110" max="4110" width="3.875" style="81" bestFit="1" customWidth="1"/>
    <col min="4111" max="4352" width="8.875" style="81"/>
    <col min="4353" max="4353" width="7.25" style="81" customWidth="1"/>
    <col min="4354" max="4354" width="2" style="81" customWidth="1"/>
    <col min="4355" max="4355" width="8.5" style="81" bestFit="1" customWidth="1"/>
    <col min="4356" max="4356" width="3.5" style="81" bestFit="1" customWidth="1"/>
    <col min="4357" max="4357" width="13.25" style="81" bestFit="1" customWidth="1"/>
    <col min="4358" max="4358" width="4.125" style="81" bestFit="1" customWidth="1"/>
    <col min="4359" max="4359" width="9.875" style="81" bestFit="1" customWidth="1"/>
    <col min="4360" max="4360" width="4.125" style="81" bestFit="1" customWidth="1"/>
    <col min="4361" max="4361" width="12" style="81" bestFit="1" customWidth="1"/>
    <col min="4362" max="4362" width="4.125" style="81" bestFit="1" customWidth="1"/>
    <col min="4363" max="4363" width="12" style="81" bestFit="1" customWidth="1"/>
    <col min="4364" max="4364" width="3.875" style="81" bestFit="1" customWidth="1"/>
    <col min="4365" max="4365" width="9.875" style="81" bestFit="1" customWidth="1"/>
    <col min="4366" max="4366" width="3.875" style="81" bestFit="1" customWidth="1"/>
    <col min="4367" max="4608" width="8.875" style="81"/>
    <col min="4609" max="4609" width="7.25" style="81" customWidth="1"/>
    <col min="4610" max="4610" width="2" style="81" customWidth="1"/>
    <col min="4611" max="4611" width="8.5" style="81" bestFit="1" customWidth="1"/>
    <col min="4612" max="4612" width="3.5" style="81" bestFit="1" customWidth="1"/>
    <col min="4613" max="4613" width="13.25" style="81" bestFit="1" customWidth="1"/>
    <col min="4614" max="4614" width="4.125" style="81" bestFit="1" customWidth="1"/>
    <col min="4615" max="4615" width="9.875" style="81" bestFit="1" customWidth="1"/>
    <col min="4616" max="4616" width="4.125" style="81" bestFit="1" customWidth="1"/>
    <col min="4617" max="4617" width="12" style="81" bestFit="1" customWidth="1"/>
    <col min="4618" max="4618" width="4.125" style="81" bestFit="1" customWidth="1"/>
    <col min="4619" max="4619" width="12" style="81" bestFit="1" customWidth="1"/>
    <col min="4620" max="4620" width="3.875" style="81" bestFit="1" customWidth="1"/>
    <col min="4621" max="4621" width="9.875" style="81" bestFit="1" customWidth="1"/>
    <col min="4622" max="4622" width="3.875" style="81" bestFit="1" customWidth="1"/>
    <col min="4623" max="4864" width="8.875" style="81"/>
    <col min="4865" max="4865" width="7.25" style="81" customWidth="1"/>
    <col min="4866" max="4866" width="2" style="81" customWidth="1"/>
    <col min="4867" max="4867" width="8.5" style="81" bestFit="1" customWidth="1"/>
    <col min="4868" max="4868" width="3.5" style="81" bestFit="1" customWidth="1"/>
    <col min="4869" max="4869" width="13.25" style="81" bestFit="1" customWidth="1"/>
    <col min="4870" max="4870" width="4.125" style="81" bestFit="1" customWidth="1"/>
    <col min="4871" max="4871" width="9.875" style="81" bestFit="1" customWidth="1"/>
    <col min="4872" max="4872" width="4.125" style="81" bestFit="1" customWidth="1"/>
    <col min="4873" max="4873" width="12" style="81" bestFit="1" customWidth="1"/>
    <col min="4874" max="4874" width="4.125" style="81" bestFit="1" customWidth="1"/>
    <col min="4875" max="4875" width="12" style="81" bestFit="1" customWidth="1"/>
    <col min="4876" max="4876" width="3.875" style="81" bestFit="1" customWidth="1"/>
    <col min="4877" max="4877" width="9.875" style="81" bestFit="1" customWidth="1"/>
    <col min="4878" max="4878" width="3.875" style="81" bestFit="1" customWidth="1"/>
    <col min="4879" max="5120" width="8.875" style="81"/>
    <col min="5121" max="5121" width="7.25" style="81" customWidth="1"/>
    <col min="5122" max="5122" width="2" style="81" customWidth="1"/>
    <col min="5123" max="5123" width="8.5" style="81" bestFit="1" customWidth="1"/>
    <col min="5124" max="5124" width="3.5" style="81" bestFit="1" customWidth="1"/>
    <col min="5125" max="5125" width="13.25" style="81" bestFit="1" customWidth="1"/>
    <col min="5126" max="5126" width="4.125" style="81" bestFit="1" customWidth="1"/>
    <col min="5127" max="5127" width="9.875" style="81" bestFit="1" customWidth="1"/>
    <col min="5128" max="5128" width="4.125" style="81" bestFit="1" customWidth="1"/>
    <col min="5129" max="5129" width="12" style="81" bestFit="1" customWidth="1"/>
    <col min="5130" max="5130" width="4.125" style="81" bestFit="1" customWidth="1"/>
    <col min="5131" max="5131" width="12" style="81" bestFit="1" customWidth="1"/>
    <col min="5132" max="5132" width="3.875" style="81" bestFit="1" customWidth="1"/>
    <col min="5133" max="5133" width="9.875" style="81" bestFit="1" customWidth="1"/>
    <col min="5134" max="5134" width="3.875" style="81" bestFit="1" customWidth="1"/>
    <col min="5135" max="5376" width="8.875" style="81"/>
    <col min="5377" max="5377" width="7.25" style="81" customWidth="1"/>
    <col min="5378" max="5378" width="2" style="81" customWidth="1"/>
    <col min="5379" max="5379" width="8.5" style="81" bestFit="1" customWidth="1"/>
    <col min="5380" max="5380" width="3.5" style="81" bestFit="1" customWidth="1"/>
    <col min="5381" max="5381" width="13.25" style="81" bestFit="1" customWidth="1"/>
    <col min="5382" max="5382" width="4.125" style="81" bestFit="1" customWidth="1"/>
    <col min="5383" max="5383" width="9.875" style="81" bestFit="1" customWidth="1"/>
    <col min="5384" max="5384" width="4.125" style="81" bestFit="1" customWidth="1"/>
    <col min="5385" max="5385" width="12" style="81" bestFit="1" customWidth="1"/>
    <col min="5386" max="5386" width="4.125" style="81" bestFit="1" customWidth="1"/>
    <col min="5387" max="5387" width="12" style="81" bestFit="1" customWidth="1"/>
    <col min="5388" max="5388" width="3.875" style="81" bestFit="1" customWidth="1"/>
    <col min="5389" max="5389" width="9.875" style="81" bestFit="1" customWidth="1"/>
    <col min="5390" max="5390" width="3.875" style="81" bestFit="1" customWidth="1"/>
    <col min="5391" max="5632" width="8.875" style="81"/>
    <col min="5633" max="5633" width="7.25" style="81" customWidth="1"/>
    <col min="5634" max="5634" width="2" style="81" customWidth="1"/>
    <col min="5635" max="5635" width="8.5" style="81" bestFit="1" customWidth="1"/>
    <col min="5636" max="5636" width="3.5" style="81" bestFit="1" customWidth="1"/>
    <col min="5637" max="5637" width="13.25" style="81" bestFit="1" customWidth="1"/>
    <col min="5638" max="5638" width="4.125" style="81" bestFit="1" customWidth="1"/>
    <col min="5639" max="5639" width="9.875" style="81" bestFit="1" customWidth="1"/>
    <col min="5640" max="5640" width="4.125" style="81" bestFit="1" customWidth="1"/>
    <col min="5641" max="5641" width="12" style="81" bestFit="1" customWidth="1"/>
    <col min="5642" max="5642" width="4.125" style="81" bestFit="1" customWidth="1"/>
    <col min="5643" max="5643" width="12" style="81" bestFit="1" customWidth="1"/>
    <col min="5644" max="5644" width="3.875" style="81" bestFit="1" customWidth="1"/>
    <col min="5645" max="5645" width="9.875" style="81" bestFit="1" customWidth="1"/>
    <col min="5646" max="5646" width="3.875" style="81" bestFit="1" customWidth="1"/>
    <col min="5647" max="5888" width="8.875" style="81"/>
    <col min="5889" max="5889" width="7.25" style="81" customWidth="1"/>
    <col min="5890" max="5890" width="2" style="81" customWidth="1"/>
    <col min="5891" max="5891" width="8.5" style="81" bestFit="1" customWidth="1"/>
    <col min="5892" max="5892" width="3.5" style="81" bestFit="1" customWidth="1"/>
    <col min="5893" max="5893" width="13.25" style="81" bestFit="1" customWidth="1"/>
    <col min="5894" max="5894" width="4.125" style="81" bestFit="1" customWidth="1"/>
    <col min="5895" max="5895" width="9.875" style="81" bestFit="1" customWidth="1"/>
    <col min="5896" max="5896" width="4.125" style="81" bestFit="1" customWidth="1"/>
    <col min="5897" max="5897" width="12" style="81" bestFit="1" customWidth="1"/>
    <col min="5898" max="5898" width="4.125" style="81" bestFit="1" customWidth="1"/>
    <col min="5899" max="5899" width="12" style="81" bestFit="1" customWidth="1"/>
    <col min="5900" max="5900" width="3.875" style="81" bestFit="1" customWidth="1"/>
    <col min="5901" max="5901" width="9.875" style="81" bestFit="1" customWidth="1"/>
    <col min="5902" max="5902" width="3.875" style="81" bestFit="1" customWidth="1"/>
    <col min="5903" max="6144" width="8.875" style="81"/>
    <col min="6145" max="6145" width="7.25" style="81" customWidth="1"/>
    <col min="6146" max="6146" width="2" style="81" customWidth="1"/>
    <col min="6147" max="6147" width="8.5" style="81" bestFit="1" customWidth="1"/>
    <col min="6148" max="6148" width="3.5" style="81" bestFit="1" customWidth="1"/>
    <col min="6149" max="6149" width="13.25" style="81" bestFit="1" customWidth="1"/>
    <col min="6150" max="6150" width="4.125" style="81" bestFit="1" customWidth="1"/>
    <col min="6151" max="6151" width="9.875" style="81" bestFit="1" customWidth="1"/>
    <col min="6152" max="6152" width="4.125" style="81" bestFit="1" customWidth="1"/>
    <col min="6153" max="6153" width="12" style="81" bestFit="1" customWidth="1"/>
    <col min="6154" max="6154" width="4.125" style="81" bestFit="1" customWidth="1"/>
    <col min="6155" max="6155" width="12" style="81" bestFit="1" customWidth="1"/>
    <col min="6156" max="6156" width="3.875" style="81" bestFit="1" customWidth="1"/>
    <col min="6157" max="6157" width="9.875" style="81" bestFit="1" customWidth="1"/>
    <col min="6158" max="6158" width="3.875" style="81" bestFit="1" customWidth="1"/>
    <col min="6159" max="6400" width="8.875" style="81"/>
    <col min="6401" max="6401" width="7.25" style="81" customWidth="1"/>
    <col min="6402" max="6402" width="2" style="81" customWidth="1"/>
    <col min="6403" max="6403" width="8.5" style="81" bestFit="1" customWidth="1"/>
    <col min="6404" max="6404" width="3.5" style="81" bestFit="1" customWidth="1"/>
    <col min="6405" max="6405" width="13.25" style="81" bestFit="1" customWidth="1"/>
    <col min="6406" max="6406" width="4.125" style="81" bestFit="1" customWidth="1"/>
    <col min="6407" max="6407" width="9.875" style="81" bestFit="1" customWidth="1"/>
    <col min="6408" max="6408" width="4.125" style="81" bestFit="1" customWidth="1"/>
    <col min="6409" max="6409" width="12" style="81" bestFit="1" customWidth="1"/>
    <col min="6410" max="6410" width="4.125" style="81" bestFit="1" customWidth="1"/>
    <col min="6411" max="6411" width="12" style="81" bestFit="1" customWidth="1"/>
    <col min="6412" max="6412" width="3.875" style="81" bestFit="1" customWidth="1"/>
    <col min="6413" max="6413" width="9.875" style="81" bestFit="1" customWidth="1"/>
    <col min="6414" max="6414" width="3.875" style="81" bestFit="1" customWidth="1"/>
    <col min="6415" max="6656" width="8.875" style="81"/>
    <col min="6657" max="6657" width="7.25" style="81" customWidth="1"/>
    <col min="6658" max="6658" width="2" style="81" customWidth="1"/>
    <col min="6659" max="6659" width="8.5" style="81" bestFit="1" customWidth="1"/>
    <col min="6660" max="6660" width="3.5" style="81" bestFit="1" customWidth="1"/>
    <col min="6661" max="6661" width="13.25" style="81" bestFit="1" customWidth="1"/>
    <col min="6662" max="6662" width="4.125" style="81" bestFit="1" customWidth="1"/>
    <col min="6663" max="6663" width="9.875" style="81" bestFit="1" customWidth="1"/>
    <col min="6664" max="6664" width="4.125" style="81" bestFit="1" customWidth="1"/>
    <col min="6665" max="6665" width="12" style="81" bestFit="1" customWidth="1"/>
    <col min="6666" max="6666" width="4.125" style="81" bestFit="1" customWidth="1"/>
    <col min="6667" max="6667" width="12" style="81" bestFit="1" customWidth="1"/>
    <col min="6668" max="6668" width="3.875" style="81" bestFit="1" customWidth="1"/>
    <col min="6669" max="6669" width="9.875" style="81" bestFit="1" customWidth="1"/>
    <col min="6670" max="6670" width="3.875" style="81" bestFit="1" customWidth="1"/>
    <col min="6671" max="6912" width="8.875" style="81"/>
    <col min="6913" max="6913" width="7.25" style="81" customWidth="1"/>
    <col min="6914" max="6914" width="2" style="81" customWidth="1"/>
    <col min="6915" max="6915" width="8.5" style="81" bestFit="1" customWidth="1"/>
    <col min="6916" max="6916" width="3.5" style="81" bestFit="1" customWidth="1"/>
    <col min="6917" max="6917" width="13.25" style="81" bestFit="1" customWidth="1"/>
    <col min="6918" max="6918" width="4.125" style="81" bestFit="1" customWidth="1"/>
    <col min="6919" max="6919" width="9.875" style="81" bestFit="1" customWidth="1"/>
    <col min="6920" max="6920" width="4.125" style="81" bestFit="1" customWidth="1"/>
    <col min="6921" max="6921" width="12" style="81" bestFit="1" customWidth="1"/>
    <col min="6922" max="6922" width="4.125" style="81" bestFit="1" customWidth="1"/>
    <col min="6923" max="6923" width="12" style="81" bestFit="1" customWidth="1"/>
    <col min="6924" max="6924" width="3.875" style="81" bestFit="1" customWidth="1"/>
    <col min="6925" max="6925" width="9.875" style="81" bestFit="1" customWidth="1"/>
    <col min="6926" max="6926" width="3.875" style="81" bestFit="1" customWidth="1"/>
    <col min="6927" max="7168" width="8.875" style="81"/>
    <col min="7169" max="7169" width="7.25" style="81" customWidth="1"/>
    <col min="7170" max="7170" width="2" style="81" customWidth="1"/>
    <col min="7171" max="7171" width="8.5" style="81" bestFit="1" customWidth="1"/>
    <col min="7172" max="7172" width="3.5" style="81" bestFit="1" customWidth="1"/>
    <col min="7173" max="7173" width="13.25" style="81" bestFit="1" customWidth="1"/>
    <col min="7174" max="7174" width="4.125" style="81" bestFit="1" customWidth="1"/>
    <col min="7175" max="7175" width="9.875" style="81" bestFit="1" customWidth="1"/>
    <col min="7176" max="7176" width="4.125" style="81" bestFit="1" customWidth="1"/>
    <col min="7177" max="7177" width="12" style="81" bestFit="1" customWidth="1"/>
    <col min="7178" max="7178" width="4.125" style="81" bestFit="1" customWidth="1"/>
    <col min="7179" max="7179" width="12" style="81" bestFit="1" customWidth="1"/>
    <col min="7180" max="7180" width="3.875" style="81" bestFit="1" customWidth="1"/>
    <col min="7181" max="7181" width="9.875" style="81" bestFit="1" customWidth="1"/>
    <col min="7182" max="7182" width="3.875" style="81" bestFit="1" customWidth="1"/>
    <col min="7183" max="7424" width="8.875" style="81"/>
    <col min="7425" max="7425" width="7.25" style="81" customWidth="1"/>
    <col min="7426" max="7426" width="2" style="81" customWidth="1"/>
    <col min="7427" max="7427" width="8.5" style="81" bestFit="1" customWidth="1"/>
    <col min="7428" max="7428" width="3.5" style="81" bestFit="1" customWidth="1"/>
    <col min="7429" max="7429" width="13.25" style="81" bestFit="1" customWidth="1"/>
    <col min="7430" max="7430" width="4.125" style="81" bestFit="1" customWidth="1"/>
    <col min="7431" max="7431" width="9.875" style="81" bestFit="1" customWidth="1"/>
    <col min="7432" max="7432" width="4.125" style="81" bestFit="1" customWidth="1"/>
    <col min="7433" max="7433" width="12" style="81" bestFit="1" customWidth="1"/>
    <col min="7434" max="7434" width="4.125" style="81" bestFit="1" customWidth="1"/>
    <col min="7435" max="7435" width="12" style="81" bestFit="1" customWidth="1"/>
    <col min="7436" max="7436" width="3.875" style="81" bestFit="1" customWidth="1"/>
    <col min="7437" max="7437" width="9.875" style="81" bestFit="1" customWidth="1"/>
    <col min="7438" max="7438" width="3.875" style="81" bestFit="1" customWidth="1"/>
    <col min="7439" max="7680" width="8.875" style="81"/>
    <col min="7681" max="7681" width="7.25" style="81" customWidth="1"/>
    <col min="7682" max="7682" width="2" style="81" customWidth="1"/>
    <col min="7683" max="7683" width="8.5" style="81" bestFit="1" customWidth="1"/>
    <col min="7684" max="7684" width="3.5" style="81" bestFit="1" customWidth="1"/>
    <col min="7685" max="7685" width="13.25" style="81" bestFit="1" customWidth="1"/>
    <col min="7686" max="7686" width="4.125" style="81" bestFit="1" customWidth="1"/>
    <col min="7687" max="7687" width="9.875" style="81" bestFit="1" customWidth="1"/>
    <col min="7688" max="7688" width="4.125" style="81" bestFit="1" customWidth="1"/>
    <col min="7689" max="7689" width="12" style="81" bestFit="1" customWidth="1"/>
    <col min="7690" max="7690" width="4.125" style="81" bestFit="1" customWidth="1"/>
    <col min="7691" max="7691" width="12" style="81" bestFit="1" customWidth="1"/>
    <col min="7692" max="7692" width="3.875" style="81" bestFit="1" customWidth="1"/>
    <col min="7693" max="7693" width="9.875" style="81" bestFit="1" customWidth="1"/>
    <col min="7694" max="7694" width="3.875" style="81" bestFit="1" customWidth="1"/>
    <col min="7695" max="7936" width="8.875" style="81"/>
    <col min="7937" max="7937" width="7.25" style="81" customWidth="1"/>
    <col min="7938" max="7938" width="2" style="81" customWidth="1"/>
    <col min="7939" max="7939" width="8.5" style="81" bestFit="1" customWidth="1"/>
    <col min="7940" max="7940" width="3.5" style="81" bestFit="1" customWidth="1"/>
    <col min="7941" max="7941" width="13.25" style="81" bestFit="1" customWidth="1"/>
    <col min="7942" max="7942" width="4.125" style="81" bestFit="1" customWidth="1"/>
    <col min="7943" max="7943" width="9.875" style="81" bestFit="1" customWidth="1"/>
    <col min="7944" max="7944" width="4.125" style="81" bestFit="1" customWidth="1"/>
    <col min="7945" max="7945" width="12" style="81" bestFit="1" customWidth="1"/>
    <col min="7946" max="7946" width="4.125" style="81" bestFit="1" customWidth="1"/>
    <col min="7947" max="7947" width="12" style="81" bestFit="1" customWidth="1"/>
    <col min="7948" max="7948" width="3.875" style="81" bestFit="1" customWidth="1"/>
    <col min="7949" max="7949" width="9.875" style="81" bestFit="1" customWidth="1"/>
    <col min="7950" max="7950" width="3.875" style="81" bestFit="1" customWidth="1"/>
    <col min="7951" max="8192" width="8.875" style="81"/>
    <col min="8193" max="8193" width="7.25" style="81" customWidth="1"/>
    <col min="8194" max="8194" width="2" style="81" customWidth="1"/>
    <col min="8195" max="8195" width="8.5" style="81" bestFit="1" customWidth="1"/>
    <col min="8196" max="8196" width="3.5" style="81" bestFit="1" customWidth="1"/>
    <col min="8197" max="8197" width="13.25" style="81" bestFit="1" customWidth="1"/>
    <col min="8198" max="8198" width="4.125" style="81" bestFit="1" customWidth="1"/>
    <col min="8199" max="8199" width="9.875" style="81" bestFit="1" customWidth="1"/>
    <col min="8200" max="8200" width="4.125" style="81" bestFit="1" customWidth="1"/>
    <col min="8201" max="8201" width="12" style="81" bestFit="1" customWidth="1"/>
    <col min="8202" max="8202" width="4.125" style="81" bestFit="1" customWidth="1"/>
    <col min="8203" max="8203" width="12" style="81" bestFit="1" customWidth="1"/>
    <col min="8204" max="8204" width="3.875" style="81" bestFit="1" customWidth="1"/>
    <col min="8205" max="8205" width="9.875" style="81" bestFit="1" customWidth="1"/>
    <col min="8206" max="8206" width="3.875" style="81" bestFit="1" customWidth="1"/>
    <col min="8207" max="8448" width="8.875" style="81"/>
    <col min="8449" max="8449" width="7.25" style="81" customWidth="1"/>
    <col min="8450" max="8450" width="2" style="81" customWidth="1"/>
    <col min="8451" max="8451" width="8.5" style="81" bestFit="1" customWidth="1"/>
    <col min="8452" max="8452" width="3.5" style="81" bestFit="1" customWidth="1"/>
    <col min="8453" max="8453" width="13.25" style="81" bestFit="1" customWidth="1"/>
    <col min="8454" max="8454" width="4.125" style="81" bestFit="1" customWidth="1"/>
    <col min="8455" max="8455" width="9.875" style="81" bestFit="1" customWidth="1"/>
    <col min="8456" max="8456" width="4.125" style="81" bestFit="1" customWidth="1"/>
    <col min="8457" max="8457" width="12" style="81" bestFit="1" customWidth="1"/>
    <col min="8458" max="8458" width="4.125" style="81" bestFit="1" customWidth="1"/>
    <col min="8459" max="8459" width="12" style="81" bestFit="1" customWidth="1"/>
    <col min="8460" max="8460" width="3.875" style="81" bestFit="1" customWidth="1"/>
    <col min="8461" max="8461" width="9.875" style="81" bestFit="1" customWidth="1"/>
    <col min="8462" max="8462" width="3.875" style="81" bestFit="1" customWidth="1"/>
    <col min="8463" max="8704" width="8.875" style="81"/>
    <col min="8705" max="8705" width="7.25" style="81" customWidth="1"/>
    <col min="8706" max="8706" width="2" style="81" customWidth="1"/>
    <col min="8707" max="8707" width="8.5" style="81" bestFit="1" customWidth="1"/>
    <col min="8708" max="8708" width="3.5" style="81" bestFit="1" customWidth="1"/>
    <col min="8709" max="8709" width="13.25" style="81" bestFit="1" customWidth="1"/>
    <col min="8710" max="8710" width="4.125" style="81" bestFit="1" customWidth="1"/>
    <col min="8711" max="8711" width="9.875" style="81" bestFit="1" customWidth="1"/>
    <col min="8712" max="8712" width="4.125" style="81" bestFit="1" customWidth="1"/>
    <col min="8713" max="8713" width="12" style="81" bestFit="1" customWidth="1"/>
    <col min="8714" max="8714" width="4.125" style="81" bestFit="1" customWidth="1"/>
    <col min="8715" max="8715" width="12" style="81" bestFit="1" customWidth="1"/>
    <col min="8716" max="8716" width="3.875" style="81" bestFit="1" customWidth="1"/>
    <col min="8717" max="8717" width="9.875" style="81" bestFit="1" customWidth="1"/>
    <col min="8718" max="8718" width="3.875" style="81" bestFit="1" customWidth="1"/>
    <col min="8719" max="8960" width="8.875" style="81"/>
    <col min="8961" max="8961" width="7.25" style="81" customWidth="1"/>
    <col min="8962" max="8962" width="2" style="81" customWidth="1"/>
    <col min="8963" max="8963" width="8.5" style="81" bestFit="1" customWidth="1"/>
    <col min="8964" max="8964" width="3.5" style="81" bestFit="1" customWidth="1"/>
    <col min="8965" max="8965" width="13.25" style="81" bestFit="1" customWidth="1"/>
    <col min="8966" max="8966" width="4.125" style="81" bestFit="1" customWidth="1"/>
    <col min="8967" max="8967" width="9.875" style="81" bestFit="1" customWidth="1"/>
    <col min="8968" max="8968" width="4.125" style="81" bestFit="1" customWidth="1"/>
    <col min="8969" max="8969" width="12" style="81" bestFit="1" customWidth="1"/>
    <col min="8970" max="8970" width="4.125" style="81" bestFit="1" customWidth="1"/>
    <col min="8971" max="8971" width="12" style="81" bestFit="1" customWidth="1"/>
    <col min="8972" max="8972" width="3.875" style="81" bestFit="1" customWidth="1"/>
    <col min="8973" max="8973" width="9.875" style="81" bestFit="1" customWidth="1"/>
    <col min="8974" max="8974" width="3.875" style="81" bestFit="1" customWidth="1"/>
    <col min="8975" max="9216" width="8.875" style="81"/>
    <col min="9217" max="9217" width="7.25" style="81" customWidth="1"/>
    <col min="9218" max="9218" width="2" style="81" customWidth="1"/>
    <col min="9219" max="9219" width="8.5" style="81" bestFit="1" customWidth="1"/>
    <col min="9220" max="9220" width="3.5" style="81" bestFit="1" customWidth="1"/>
    <col min="9221" max="9221" width="13.25" style="81" bestFit="1" customWidth="1"/>
    <col min="9222" max="9222" width="4.125" style="81" bestFit="1" customWidth="1"/>
    <col min="9223" max="9223" width="9.875" style="81" bestFit="1" customWidth="1"/>
    <col min="9224" max="9224" width="4.125" style="81" bestFit="1" customWidth="1"/>
    <col min="9225" max="9225" width="12" style="81" bestFit="1" customWidth="1"/>
    <col min="9226" max="9226" width="4.125" style="81" bestFit="1" customWidth="1"/>
    <col min="9227" max="9227" width="12" style="81" bestFit="1" customWidth="1"/>
    <col min="9228" max="9228" width="3.875" style="81" bestFit="1" customWidth="1"/>
    <col min="9229" max="9229" width="9.875" style="81" bestFit="1" customWidth="1"/>
    <col min="9230" max="9230" width="3.875" style="81" bestFit="1" customWidth="1"/>
    <col min="9231" max="9472" width="8.875" style="81"/>
    <col min="9473" max="9473" width="7.25" style="81" customWidth="1"/>
    <col min="9474" max="9474" width="2" style="81" customWidth="1"/>
    <col min="9475" max="9475" width="8.5" style="81" bestFit="1" customWidth="1"/>
    <col min="9476" max="9476" width="3.5" style="81" bestFit="1" customWidth="1"/>
    <col min="9477" max="9477" width="13.25" style="81" bestFit="1" customWidth="1"/>
    <col min="9478" max="9478" width="4.125" style="81" bestFit="1" customWidth="1"/>
    <col min="9479" max="9479" width="9.875" style="81" bestFit="1" customWidth="1"/>
    <col min="9480" max="9480" width="4.125" style="81" bestFit="1" customWidth="1"/>
    <col min="9481" max="9481" width="12" style="81" bestFit="1" customWidth="1"/>
    <col min="9482" max="9482" width="4.125" style="81" bestFit="1" customWidth="1"/>
    <col min="9483" max="9483" width="12" style="81" bestFit="1" customWidth="1"/>
    <col min="9484" max="9484" width="3.875" style="81" bestFit="1" customWidth="1"/>
    <col min="9485" max="9485" width="9.875" style="81" bestFit="1" customWidth="1"/>
    <col min="9486" max="9486" width="3.875" style="81" bestFit="1" customWidth="1"/>
    <col min="9487" max="9728" width="8.875" style="81"/>
    <col min="9729" max="9729" width="7.25" style="81" customWidth="1"/>
    <col min="9730" max="9730" width="2" style="81" customWidth="1"/>
    <col min="9731" max="9731" width="8.5" style="81" bestFit="1" customWidth="1"/>
    <col min="9732" max="9732" width="3.5" style="81" bestFit="1" customWidth="1"/>
    <col min="9733" max="9733" width="13.25" style="81" bestFit="1" customWidth="1"/>
    <col min="9734" max="9734" width="4.125" style="81" bestFit="1" customWidth="1"/>
    <col min="9735" max="9735" width="9.875" style="81" bestFit="1" customWidth="1"/>
    <col min="9736" max="9736" width="4.125" style="81" bestFit="1" customWidth="1"/>
    <col min="9737" max="9737" width="12" style="81" bestFit="1" customWidth="1"/>
    <col min="9738" max="9738" width="4.125" style="81" bestFit="1" customWidth="1"/>
    <col min="9739" max="9739" width="12" style="81" bestFit="1" customWidth="1"/>
    <col min="9740" max="9740" width="3.875" style="81" bestFit="1" customWidth="1"/>
    <col min="9741" max="9741" width="9.875" style="81" bestFit="1" customWidth="1"/>
    <col min="9742" max="9742" width="3.875" style="81" bestFit="1" customWidth="1"/>
    <col min="9743" max="9984" width="8.875" style="81"/>
    <col min="9985" max="9985" width="7.25" style="81" customWidth="1"/>
    <col min="9986" max="9986" width="2" style="81" customWidth="1"/>
    <col min="9987" max="9987" width="8.5" style="81" bestFit="1" customWidth="1"/>
    <col min="9988" max="9988" width="3.5" style="81" bestFit="1" customWidth="1"/>
    <col min="9989" max="9989" width="13.25" style="81" bestFit="1" customWidth="1"/>
    <col min="9990" max="9990" width="4.125" style="81" bestFit="1" customWidth="1"/>
    <col min="9991" max="9991" width="9.875" style="81" bestFit="1" customWidth="1"/>
    <col min="9992" max="9992" width="4.125" style="81" bestFit="1" customWidth="1"/>
    <col min="9993" max="9993" width="12" style="81" bestFit="1" customWidth="1"/>
    <col min="9994" max="9994" width="4.125" style="81" bestFit="1" customWidth="1"/>
    <col min="9995" max="9995" width="12" style="81" bestFit="1" customWidth="1"/>
    <col min="9996" max="9996" width="3.875" style="81" bestFit="1" customWidth="1"/>
    <col min="9997" max="9997" width="9.875" style="81" bestFit="1" customWidth="1"/>
    <col min="9998" max="9998" width="3.875" style="81" bestFit="1" customWidth="1"/>
    <col min="9999" max="10240" width="8.875" style="81"/>
    <col min="10241" max="10241" width="7.25" style="81" customWidth="1"/>
    <col min="10242" max="10242" width="2" style="81" customWidth="1"/>
    <col min="10243" max="10243" width="8.5" style="81" bestFit="1" customWidth="1"/>
    <col min="10244" max="10244" width="3.5" style="81" bestFit="1" customWidth="1"/>
    <col min="10245" max="10245" width="13.25" style="81" bestFit="1" customWidth="1"/>
    <col min="10246" max="10246" width="4.125" style="81" bestFit="1" customWidth="1"/>
    <col min="10247" max="10247" width="9.875" style="81" bestFit="1" customWidth="1"/>
    <col min="10248" max="10248" width="4.125" style="81" bestFit="1" customWidth="1"/>
    <col min="10249" max="10249" width="12" style="81" bestFit="1" customWidth="1"/>
    <col min="10250" max="10250" width="4.125" style="81" bestFit="1" customWidth="1"/>
    <col min="10251" max="10251" width="12" style="81" bestFit="1" customWidth="1"/>
    <col min="10252" max="10252" width="3.875" style="81" bestFit="1" customWidth="1"/>
    <col min="10253" max="10253" width="9.875" style="81" bestFit="1" customWidth="1"/>
    <col min="10254" max="10254" width="3.875" style="81" bestFit="1" customWidth="1"/>
    <col min="10255" max="10496" width="8.875" style="81"/>
    <col min="10497" max="10497" width="7.25" style="81" customWidth="1"/>
    <col min="10498" max="10498" width="2" style="81" customWidth="1"/>
    <col min="10499" max="10499" width="8.5" style="81" bestFit="1" customWidth="1"/>
    <col min="10500" max="10500" width="3.5" style="81" bestFit="1" customWidth="1"/>
    <col min="10501" max="10501" width="13.25" style="81" bestFit="1" customWidth="1"/>
    <col min="10502" max="10502" width="4.125" style="81" bestFit="1" customWidth="1"/>
    <col min="10503" max="10503" width="9.875" style="81" bestFit="1" customWidth="1"/>
    <col min="10504" max="10504" width="4.125" style="81" bestFit="1" customWidth="1"/>
    <col min="10505" max="10505" width="12" style="81" bestFit="1" customWidth="1"/>
    <col min="10506" max="10506" width="4.125" style="81" bestFit="1" customWidth="1"/>
    <col min="10507" max="10507" width="12" style="81" bestFit="1" customWidth="1"/>
    <col min="10508" max="10508" width="3.875" style="81" bestFit="1" customWidth="1"/>
    <col min="10509" max="10509" width="9.875" style="81" bestFit="1" customWidth="1"/>
    <col min="10510" max="10510" width="3.875" style="81" bestFit="1" customWidth="1"/>
    <col min="10511" max="10752" width="8.875" style="81"/>
    <col min="10753" max="10753" width="7.25" style="81" customWidth="1"/>
    <col min="10754" max="10754" width="2" style="81" customWidth="1"/>
    <col min="10755" max="10755" width="8.5" style="81" bestFit="1" customWidth="1"/>
    <col min="10756" max="10756" width="3.5" style="81" bestFit="1" customWidth="1"/>
    <col min="10757" max="10757" width="13.25" style="81" bestFit="1" customWidth="1"/>
    <col min="10758" max="10758" width="4.125" style="81" bestFit="1" customWidth="1"/>
    <col min="10759" max="10759" width="9.875" style="81" bestFit="1" customWidth="1"/>
    <col min="10760" max="10760" width="4.125" style="81" bestFit="1" customWidth="1"/>
    <col min="10761" max="10761" width="12" style="81" bestFit="1" customWidth="1"/>
    <col min="10762" max="10762" width="4.125" style="81" bestFit="1" customWidth="1"/>
    <col min="10763" max="10763" width="12" style="81" bestFit="1" customWidth="1"/>
    <col min="10764" max="10764" width="3.875" style="81" bestFit="1" customWidth="1"/>
    <col min="10765" max="10765" width="9.875" style="81" bestFit="1" customWidth="1"/>
    <col min="10766" max="10766" width="3.875" style="81" bestFit="1" customWidth="1"/>
    <col min="10767" max="11008" width="8.875" style="81"/>
    <col min="11009" max="11009" width="7.25" style="81" customWidth="1"/>
    <col min="11010" max="11010" width="2" style="81" customWidth="1"/>
    <col min="11011" max="11011" width="8.5" style="81" bestFit="1" customWidth="1"/>
    <col min="11012" max="11012" width="3.5" style="81" bestFit="1" customWidth="1"/>
    <col min="11013" max="11013" width="13.25" style="81" bestFit="1" customWidth="1"/>
    <col min="11014" max="11014" width="4.125" style="81" bestFit="1" customWidth="1"/>
    <col min="11015" max="11015" width="9.875" style="81" bestFit="1" customWidth="1"/>
    <col min="11016" max="11016" width="4.125" style="81" bestFit="1" customWidth="1"/>
    <col min="11017" max="11017" width="12" style="81" bestFit="1" customWidth="1"/>
    <col min="11018" max="11018" width="4.125" style="81" bestFit="1" customWidth="1"/>
    <col min="11019" max="11019" width="12" style="81" bestFit="1" customWidth="1"/>
    <col min="11020" max="11020" width="3.875" style="81" bestFit="1" customWidth="1"/>
    <col min="11021" max="11021" width="9.875" style="81" bestFit="1" customWidth="1"/>
    <col min="11022" max="11022" width="3.875" style="81" bestFit="1" customWidth="1"/>
    <col min="11023" max="11264" width="8.875" style="81"/>
    <col min="11265" max="11265" width="7.25" style="81" customWidth="1"/>
    <col min="11266" max="11266" width="2" style="81" customWidth="1"/>
    <col min="11267" max="11267" width="8.5" style="81" bestFit="1" customWidth="1"/>
    <col min="11268" max="11268" width="3.5" style="81" bestFit="1" customWidth="1"/>
    <col min="11269" max="11269" width="13.25" style="81" bestFit="1" customWidth="1"/>
    <col min="11270" max="11270" width="4.125" style="81" bestFit="1" customWidth="1"/>
    <col min="11271" max="11271" width="9.875" style="81" bestFit="1" customWidth="1"/>
    <col min="11272" max="11272" width="4.125" style="81" bestFit="1" customWidth="1"/>
    <col min="11273" max="11273" width="12" style="81" bestFit="1" customWidth="1"/>
    <col min="11274" max="11274" width="4.125" style="81" bestFit="1" customWidth="1"/>
    <col min="11275" max="11275" width="12" style="81" bestFit="1" customWidth="1"/>
    <col min="11276" max="11276" width="3.875" style="81" bestFit="1" customWidth="1"/>
    <col min="11277" max="11277" width="9.875" style="81" bestFit="1" customWidth="1"/>
    <col min="11278" max="11278" width="3.875" style="81" bestFit="1" customWidth="1"/>
    <col min="11279" max="11520" width="8.875" style="81"/>
    <col min="11521" max="11521" width="7.25" style="81" customWidth="1"/>
    <col min="11522" max="11522" width="2" style="81" customWidth="1"/>
    <col min="11523" max="11523" width="8.5" style="81" bestFit="1" customWidth="1"/>
    <col min="11524" max="11524" width="3.5" style="81" bestFit="1" customWidth="1"/>
    <col min="11525" max="11525" width="13.25" style="81" bestFit="1" customWidth="1"/>
    <col min="11526" max="11526" width="4.125" style="81" bestFit="1" customWidth="1"/>
    <col min="11527" max="11527" width="9.875" style="81" bestFit="1" customWidth="1"/>
    <col min="11528" max="11528" width="4.125" style="81" bestFit="1" customWidth="1"/>
    <col min="11529" max="11529" width="12" style="81" bestFit="1" customWidth="1"/>
    <col min="11530" max="11530" width="4.125" style="81" bestFit="1" customWidth="1"/>
    <col min="11531" max="11531" width="12" style="81" bestFit="1" customWidth="1"/>
    <col min="11532" max="11532" width="3.875" style="81" bestFit="1" customWidth="1"/>
    <col min="11533" max="11533" width="9.875" style="81" bestFit="1" customWidth="1"/>
    <col min="11534" max="11534" width="3.875" style="81" bestFit="1" customWidth="1"/>
    <col min="11535" max="11776" width="8.875" style="81"/>
    <col min="11777" max="11777" width="7.25" style="81" customWidth="1"/>
    <col min="11778" max="11778" width="2" style="81" customWidth="1"/>
    <col min="11779" max="11779" width="8.5" style="81" bestFit="1" customWidth="1"/>
    <col min="11780" max="11780" width="3.5" style="81" bestFit="1" customWidth="1"/>
    <col min="11781" max="11781" width="13.25" style="81" bestFit="1" customWidth="1"/>
    <col min="11782" max="11782" width="4.125" style="81" bestFit="1" customWidth="1"/>
    <col min="11783" max="11783" width="9.875" style="81" bestFit="1" customWidth="1"/>
    <col min="11784" max="11784" width="4.125" style="81" bestFit="1" customWidth="1"/>
    <col min="11785" max="11785" width="12" style="81" bestFit="1" customWidth="1"/>
    <col min="11786" max="11786" width="4.125" style="81" bestFit="1" customWidth="1"/>
    <col min="11787" max="11787" width="12" style="81" bestFit="1" customWidth="1"/>
    <col min="11788" max="11788" width="3.875" style="81" bestFit="1" customWidth="1"/>
    <col min="11789" max="11789" width="9.875" style="81" bestFit="1" customWidth="1"/>
    <col min="11790" max="11790" width="3.875" style="81" bestFit="1" customWidth="1"/>
    <col min="11791" max="12032" width="8.875" style="81"/>
    <col min="12033" max="12033" width="7.25" style="81" customWidth="1"/>
    <col min="12034" max="12034" width="2" style="81" customWidth="1"/>
    <col min="12035" max="12035" width="8.5" style="81" bestFit="1" customWidth="1"/>
    <col min="12036" max="12036" width="3.5" style="81" bestFit="1" customWidth="1"/>
    <col min="12037" max="12037" width="13.25" style="81" bestFit="1" customWidth="1"/>
    <col min="12038" max="12038" width="4.125" style="81" bestFit="1" customWidth="1"/>
    <col min="12039" max="12039" width="9.875" style="81" bestFit="1" customWidth="1"/>
    <col min="12040" max="12040" width="4.125" style="81" bestFit="1" customWidth="1"/>
    <col min="12041" max="12041" width="12" style="81" bestFit="1" customWidth="1"/>
    <col min="12042" max="12042" width="4.125" style="81" bestFit="1" customWidth="1"/>
    <col min="12043" max="12043" width="12" style="81" bestFit="1" customWidth="1"/>
    <col min="12044" max="12044" width="3.875" style="81" bestFit="1" customWidth="1"/>
    <col min="12045" max="12045" width="9.875" style="81" bestFit="1" customWidth="1"/>
    <col min="12046" max="12046" width="3.875" style="81" bestFit="1" customWidth="1"/>
    <col min="12047" max="12288" width="8.875" style="81"/>
    <col min="12289" max="12289" width="7.25" style="81" customWidth="1"/>
    <col min="12290" max="12290" width="2" style="81" customWidth="1"/>
    <col min="12291" max="12291" width="8.5" style="81" bestFit="1" customWidth="1"/>
    <col min="12292" max="12292" width="3.5" style="81" bestFit="1" customWidth="1"/>
    <col min="12293" max="12293" width="13.25" style="81" bestFit="1" customWidth="1"/>
    <col min="12294" max="12294" width="4.125" style="81" bestFit="1" customWidth="1"/>
    <col min="12295" max="12295" width="9.875" style="81" bestFit="1" customWidth="1"/>
    <col min="12296" max="12296" width="4.125" style="81" bestFit="1" customWidth="1"/>
    <col min="12297" max="12297" width="12" style="81" bestFit="1" customWidth="1"/>
    <col min="12298" max="12298" width="4.125" style="81" bestFit="1" customWidth="1"/>
    <col min="12299" max="12299" width="12" style="81" bestFit="1" customWidth="1"/>
    <col min="12300" max="12300" width="3.875" style="81" bestFit="1" customWidth="1"/>
    <col min="12301" max="12301" width="9.875" style="81" bestFit="1" customWidth="1"/>
    <col min="12302" max="12302" width="3.875" style="81" bestFit="1" customWidth="1"/>
    <col min="12303" max="12544" width="8.875" style="81"/>
    <col min="12545" max="12545" width="7.25" style="81" customWidth="1"/>
    <col min="12546" max="12546" width="2" style="81" customWidth="1"/>
    <col min="12547" max="12547" width="8.5" style="81" bestFit="1" customWidth="1"/>
    <col min="12548" max="12548" width="3.5" style="81" bestFit="1" customWidth="1"/>
    <col min="12549" max="12549" width="13.25" style="81" bestFit="1" customWidth="1"/>
    <col min="12550" max="12550" width="4.125" style="81" bestFit="1" customWidth="1"/>
    <col min="12551" max="12551" width="9.875" style="81" bestFit="1" customWidth="1"/>
    <col min="12552" max="12552" width="4.125" style="81" bestFit="1" customWidth="1"/>
    <col min="12553" max="12553" width="12" style="81" bestFit="1" customWidth="1"/>
    <col min="12554" max="12554" width="4.125" style="81" bestFit="1" customWidth="1"/>
    <col min="12555" max="12555" width="12" style="81" bestFit="1" customWidth="1"/>
    <col min="12556" max="12556" width="3.875" style="81" bestFit="1" customWidth="1"/>
    <col min="12557" max="12557" width="9.875" style="81" bestFit="1" customWidth="1"/>
    <col min="12558" max="12558" width="3.875" style="81" bestFit="1" customWidth="1"/>
    <col min="12559" max="12800" width="8.875" style="81"/>
    <col min="12801" max="12801" width="7.25" style="81" customWidth="1"/>
    <col min="12802" max="12802" width="2" style="81" customWidth="1"/>
    <col min="12803" max="12803" width="8.5" style="81" bestFit="1" customWidth="1"/>
    <col min="12804" max="12804" width="3.5" style="81" bestFit="1" customWidth="1"/>
    <col min="12805" max="12805" width="13.25" style="81" bestFit="1" customWidth="1"/>
    <col min="12806" max="12806" width="4.125" style="81" bestFit="1" customWidth="1"/>
    <col min="12807" max="12807" width="9.875" style="81" bestFit="1" customWidth="1"/>
    <col min="12808" max="12808" width="4.125" style="81" bestFit="1" customWidth="1"/>
    <col min="12809" max="12809" width="12" style="81" bestFit="1" customWidth="1"/>
    <col min="12810" max="12810" width="4.125" style="81" bestFit="1" customWidth="1"/>
    <col min="12811" max="12811" width="12" style="81" bestFit="1" customWidth="1"/>
    <col min="12812" max="12812" width="3.875" style="81" bestFit="1" customWidth="1"/>
    <col min="12813" max="12813" width="9.875" style="81" bestFit="1" customWidth="1"/>
    <col min="12814" max="12814" width="3.875" style="81" bestFit="1" customWidth="1"/>
    <col min="12815" max="13056" width="8.875" style="81"/>
    <col min="13057" max="13057" width="7.25" style="81" customWidth="1"/>
    <col min="13058" max="13058" width="2" style="81" customWidth="1"/>
    <col min="13059" max="13059" width="8.5" style="81" bestFit="1" customWidth="1"/>
    <col min="13060" max="13060" width="3.5" style="81" bestFit="1" customWidth="1"/>
    <col min="13061" max="13061" width="13.25" style="81" bestFit="1" customWidth="1"/>
    <col min="13062" max="13062" width="4.125" style="81" bestFit="1" customWidth="1"/>
    <col min="13063" max="13063" width="9.875" style="81" bestFit="1" customWidth="1"/>
    <col min="13064" max="13064" width="4.125" style="81" bestFit="1" customWidth="1"/>
    <col min="13065" max="13065" width="12" style="81" bestFit="1" customWidth="1"/>
    <col min="13066" max="13066" width="4.125" style="81" bestFit="1" customWidth="1"/>
    <col min="13067" max="13067" width="12" style="81" bestFit="1" customWidth="1"/>
    <col min="13068" max="13068" width="3.875" style="81" bestFit="1" customWidth="1"/>
    <col min="13069" max="13069" width="9.875" style="81" bestFit="1" customWidth="1"/>
    <col min="13070" max="13070" width="3.875" style="81" bestFit="1" customWidth="1"/>
    <col min="13071" max="13312" width="8.875" style="81"/>
    <col min="13313" max="13313" width="7.25" style="81" customWidth="1"/>
    <col min="13314" max="13314" width="2" style="81" customWidth="1"/>
    <col min="13315" max="13315" width="8.5" style="81" bestFit="1" customWidth="1"/>
    <col min="13316" max="13316" width="3.5" style="81" bestFit="1" customWidth="1"/>
    <col min="13317" max="13317" width="13.25" style="81" bestFit="1" customWidth="1"/>
    <col min="13318" max="13318" width="4.125" style="81" bestFit="1" customWidth="1"/>
    <col min="13319" max="13319" width="9.875" style="81" bestFit="1" customWidth="1"/>
    <col min="13320" max="13320" width="4.125" style="81" bestFit="1" customWidth="1"/>
    <col min="13321" max="13321" width="12" style="81" bestFit="1" customWidth="1"/>
    <col min="13322" max="13322" width="4.125" style="81" bestFit="1" customWidth="1"/>
    <col min="13323" max="13323" width="12" style="81" bestFit="1" customWidth="1"/>
    <col min="13324" max="13324" width="3.875" style="81" bestFit="1" customWidth="1"/>
    <col min="13325" max="13325" width="9.875" style="81" bestFit="1" customWidth="1"/>
    <col min="13326" max="13326" width="3.875" style="81" bestFit="1" customWidth="1"/>
    <col min="13327" max="13568" width="8.875" style="81"/>
    <col min="13569" max="13569" width="7.25" style="81" customWidth="1"/>
    <col min="13570" max="13570" width="2" style="81" customWidth="1"/>
    <col min="13571" max="13571" width="8.5" style="81" bestFit="1" customWidth="1"/>
    <col min="13572" max="13572" width="3.5" style="81" bestFit="1" customWidth="1"/>
    <col min="13573" max="13573" width="13.25" style="81" bestFit="1" customWidth="1"/>
    <col min="13574" max="13574" width="4.125" style="81" bestFit="1" customWidth="1"/>
    <col min="13575" max="13575" width="9.875" style="81" bestFit="1" customWidth="1"/>
    <col min="13576" max="13576" width="4.125" style="81" bestFit="1" customWidth="1"/>
    <col min="13577" max="13577" width="12" style="81" bestFit="1" customWidth="1"/>
    <col min="13578" max="13578" width="4.125" style="81" bestFit="1" customWidth="1"/>
    <col min="13579" max="13579" width="12" style="81" bestFit="1" customWidth="1"/>
    <col min="13580" max="13580" width="3.875" style="81" bestFit="1" customWidth="1"/>
    <col min="13581" max="13581" width="9.875" style="81" bestFit="1" customWidth="1"/>
    <col min="13582" max="13582" width="3.875" style="81" bestFit="1" customWidth="1"/>
    <col min="13583" max="13824" width="8.875" style="81"/>
    <col min="13825" max="13825" width="7.25" style="81" customWidth="1"/>
    <col min="13826" max="13826" width="2" style="81" customWidth="1"/>
    <col min="13827" max="13827" width="8.5" style="81" bestFit="1" customWidth="1"/>
    <col min="13828" max="13828" width="3.5" style="81" bestFit="1" customWidth="1"/>
    <col min="13829" max="13829" width="13.25" style="81" bestFit="1" customWidth="1"/>
    <col min="13830" max="13830" width="4.125" style="81" bestFit="1" customWidth="1"/>
    <col min="13831" max="13831" width="9.875" style="81" bestFit="1" customWidth="1"/>
    <col min="13832" max="13832" width="4.125" style="81" bestFit="1" customWidth="1"/>
    <col min="13833" max="13833" width="12" style="81" bestFit="1" customWidth="1"/>
    <col min="13834" max="13834" width="4.125" style="81" bestFit="1" customWidth="1"/>
    <col min="13835" max="13835" width="12" style="81" bestFit="1" customWidth="1"/>
    <col min="13836" max="13836" width="3.875" style="81" bestFit="1" customWidth="1"/>
    <col min="13837" max="13837" width="9.875" style="81" bestFit="1" customWidth="1"/>
    <col min="13838" max="13838" width="3.875" style="81" bestFit="1" customWidth="1"/>
    <col min="13839" max="14080" width="8.875" style="81"/>
    <col min="14081" max="14081" width="7.25" style="81" customWidth="1"/>
    <col min="14082" max="14082" width="2" style="81" customWidth="1"/>
    <col min="14083" max="14083" width="8.5" style="81" bestFit="1" customWidth="1"/>
    <col min="14084" max="14084" width="3.5" style="81" bestFit="1" customWidth="1"/>
    <col min="14085" max="14085" width="13.25" style="81" bestFit="1" customWidth="1"/>
    <col min="14086" max="14086" width="4.125" style="81" bestFit="1" customWidth="1"/>
    <col min="14087" max="14087" width="9.875" style="81" bestFit="1" customWidth="1"/>
    <col min="14088" max="14088" width="4.125" style="81" bestFit="1" customWidth="1"/>
    <col min="14089" max="14089" width="12" style="81" bestFit="1" customWidth="1"/>
    <col min="14090" max="14090" width="4.125" style="81" bestFit="1" customWidth="1"/>
    <col min="14091" max="14091" width="12" style="81" bestFit="1" customWidth="1"/>
    <col min="14092" max="14092" width="3.875" style="81" bestFit="1" customWidth="1"/>
    <col min="14093" max="14093" width="9.875" style="81" bestFit="1" customWidth="1"/>
    <col min="14094" max="14094" width="3.875" style="81" bestFit="1" customWidth="1"/>
    <col min="14095" max="14336" width="8.875" style="81"/>
    <col min="14337" max="14337" width="7.25" style="81" customWidth="1"/>
    <col min="14338" max="14338" width="2" style="81" customWidth="1"/>
    <col min="14339" max="14339" width="8.5" style="81" bestFit="1" customWidth="1"/>
    <col min="14340" max="14340" width="3.5" style="81" bestFit="1" customWidth="1"/>
    <col min="14341" max="14341" width="13.25" style="81" bestFit="1" customWidth="1"/>
    <col min="14342" max="14342" width="4.125" style="81" bestFit="1" customWidth="1"/>
    <col min="14343" max="14343" width="9.875" style="81" bestFit="1" customWidth="1"/>
    <col min="14344" max="14344" width="4.125" style="81" bestFit="1" customWidth="1"/>
    <col min="14345" max="14345" width="12" style="81" bestFit="1" customWidth="1"/>
    <col min="14346" max="14346" width="4.125" style="81" bestFit="1" customWidth="1"/>
    <col min="14347" max="14347" width="12" style="81" bestFit="1" customWidth="1"/>
    <col min="14348" max="14348" width="3.875" style="81" bestFit="1" customWidth="1"/>
    <col min="14349" max="14349" width="9.875" style="81" bestFit="1" customWidth="1"/>
    <col min="14350" max="14350" width="3.875" style="81" bestFit="1" customWidth="1"/>
    <col min="14351" max="14592" width="8.875" style="81"/>
    <col min="14593" max="14593" width="7.25" style="81" customWidth="1"/>
    <col min="14594" max="14594" width="2" style="81" customWidth="1"/>
    <col min="14595" max="14595" width="8.5" style="81" bestFit="1" customWidth="1"/>
    <col min="14596" max="14596" width="3.5" style="81" bestFit="1" customWidth="1"/>
    <col min="14597" max="14597" width="13.25" style="81" bestFit="1" customWidth="1"/>
    <col min="14598" max="14598" width="4.125" style="81" bestFit="1" customWidth="1"/>
    <col min="14599" max="14599" width="9.875" style="81" bestFit="1" customWidth="1"/>
    <col min="14600" max="14600" width="4.125" style="81" bestFit="1" customWidth="1"/>
    <col min="14601" max="14601" width="12" style="81" bestFit="1" customWidth="1"/>
    <col min="14602" max="14602" width="4.125" style="81" bestFit="1" customWidth="1"/>
    <col min="14603" max="14603" width="12" style="81" bestFit="1" customWidth="1"/>
    <col min="14604" max="14604" width="3.875" style="81" bestFit="1" customWidth="1"/>
    <col min="14605" max="14605" width="9.875" style="81" bestFit="1" customWidth="1"/>
    <col min="14606" max="14606" width="3.875" style="81" bestFit="1" customWidth="1"/>
    <col min="14607" max="14848" width="8.875" style="81"/>
    <col min="14849" max="14849" width="7.25" style="81" customWidth="1"/>
    <col min="14850" max="14850" width="2" style="81" customWidth="1"/>
    <col min="14851" max="14851" width="8.5" style="81" bestFit="1" customWidth="1"/>
    <col min="14852" max="14852" width="3.5" style="81" bestFit="1" customWidth="1"/>
    <col min="14853" max="14853" width="13.25" style="81" bestFit="1" customWidth="1"/>
    <col min="14854" max="14854" width="4.125" style="81" bestFit="1" customWidth="1"/>
    <col min="14855" max="14855" width="9.875" style="81" bestFit="1" customWidth="1"/>
    <col min="14856" max="14856" width="4.125" style="81" bestFit="1" customWidth="1"/>
    <col min="14857" max="14857" width="12" style="81" bestFit="1" customWidth="1"/>
    <col min="14858" max="14858" width="4.125" style="81" bestFit="1" customWidth="1"/>
    <col min="14859" max="14859" width="12" style="81" bestFit="1" customWidth="1"/>
    <col min="14860" max="14860" width="3.875" style="81" bestFit="1" customWidth="1"/>
    <col min="14861" max="14861" width="9.875" style="81" bestFit="1" customWidth="1"/>
    <col min="14862" max="14862" width="3.875" style="81" bestFit="1" customWidth="1"/>
    <col min="14863" max="15104" width="8.875" style="81"/>
    <col min="15105" max="15105" width="7.25" style="81" customWidth="1"/>
    <col min="15106" max="15106" width="2" style="81" customWidth="1"/>
    <col min="15107" max="15107" width="8.5" style="81" bestFit="1" customWidth="1"/>
    <col min="15108" max="15108" width="3.5" style="81" bestFit="1" customWidth="1"/>
    <col min="15109" max="15109" width="13.25" style="81" bestFit="1" customWidth="1"/>
    <col min="15110" max="15110" width="4.125" style="81" bestFit="1" customWidth="1"/>
    <col min="15111" max="15111" width="9.875" style="81" bestFit="1" customWidth="1"/>
    <col min="15112" max="15112" width="4.125" style="81" bestFit="1" customWidth="1"/>
    <col min="15113" max="15113" width="12" style="81" bestFit="1" customWidth="1"/>
    <col min="15114" max="15114" width="4.125" style="81" bestFit="1" customWidth="1"/>
    <col min="15115" max="15115" width="12" style="81" bestFit="1" customWidth="1"/>
    <col min="15116" max="15116" width="3.875" style="81" bestFit="1" customWidth="1"/>
    <col min="15117" max="15117" width="9.875" style="81" bestFit="1" customWidth="1"/>
    <col min="15118" max="15118" width="3.875" style="81" bestFit="1" customWidth="1"/>
    <col min="15119" max="15360" width="8.875" style="81"/>
    <col min="15361" max="15361" width="7.25" style="81" customWidth="1"/>
    <col min="15362" max="15362" width="2" style="81" customWidth="1"/>
    <col min="15363" max="15363" width="8.5" style="81" bestFit="1" customWidth="1"/>
    <col min="15364" max="15364" width="3.5" style="81" bestFit="1" customWidth="1"/>
    <col min="15365" max="15365" width="13.25" style="81" bestFit="1" customWidth="1"/>
    <col min="15366" max="15366" width="4.125" style="81" bestFit="1" customWidth="1"/>
    <col min="15367" max="15367" width="9.875" style="81" bestFit="1" customWidth="1"/>
    <col min="15368" max="15368" width="4.125" style="81" bestFit="1" customWidth="1"/>
    <col min="15369" max="15369" width="12" style="81" bestFit="1" customWidth="1"/>
    <col min="15370" max="15370" width="4.125" style="81" bestFit="1" customWidth="1"/>
    <col min="15371" max="15371" width="12" style="81" bestFit="1" customWidth="1"/>
    <col min="15372" max="15372" width="3.875" style="81" bestFit="1" customWidth="1"/>
    <col min="15373" max="15373" width="9.875" style="81" bestFit="1" customWidth="1"/>
    <col min="15374" max="15374" width="3.875" style="81" bestFit="1" customWidth="1"/>
    <col min="15375" max="15616" width="8.875" style="81"/>
    <col min="15617" max="15617" width="7.25" style="81" customWidth="1"/>
    <col min="15618" max="15618" width="2" style="81" customWidth="1"/>
    <col min="15619" max="15619" width="8.5" style="81" bestFit="1" customWidth="1"/>
    <col min="15620" max="15620" width="3.5" style="81" bestFit="1" customWidth="1"/>
    <col min="15621" max="15621" width="13.25" style="81" bestFit="1" customWidth="1"/>
    <col min="15622" max="15622" width="4.125" style="81" bestFit="1" customWidth="1"/>
    <col min="15623" max="15623" width="9.875" style="81" bestFit="1" customWidth="1"/>
    <col min="15624" max="15624" width="4.125" style="81" bestFit="1" customWidth="1"/>
    <col min="15625" max="15625" width="12" style="81" bestFit="1" customWidth="1"/>
    <col min="15626" max="15626" width="4.125" style="81" bestFit="1" customWidth="1"/>
    <col min="15627" max="15627" width="12" style="81" bestFit="1" customWidth="1"/>
    <col min="15628" max="15628" width="3.875" style="81" bestFit="1" customWidth="1"/>
    <col min="15629" max="15629" width="9.875" style="81" bestFit="1" customWidth="1"/>
    <col min="15630" max="15630" width="3.875" style="81" bestFit="1" customWidth="1"/>
    <col min="15631" max="15872" width="8.875" style="81"/>
    <col min="15873" max="15873" width="7.25" style="81" customWidth="1"/>
    <col min="15874" max="15874" width="2" style="81" customWidth="1"/>
    <col min="15875" max="15875" width="8.5" style="81" bestFit="1" customWidth="1"/>
    <col min="15876" max="15876" width="3.5" style="81" bestFit="1" customWidth="1"/>
    <col min="15877" max="15877" width="13.25" style="81" bestFit="1" customWidth="1"/>
    <col min="15878" max="15878" width="4.125" style="81" bestFit="1" customWidth="1"/>
    <col min="15879" max="15879" width="9.875" style="81" bestFit="1" customWidth="1"/>
    <col min="15880" max="15880" width="4.125" style="81" bestFit="1" customWidth="1"/>
    <col min="15881" max="15881" width="12" style="81" bestFit="1" customWidth="1"/>
    <col min="15882" max="15882" width="4.125" style="81" bestFit="1" customWidth="1"/>
    <col min="15883" max="15883" width="12" style="81" bestFit="1" customWidth="1"/>
    <col min="15884" max="15884" width="3.875" style="81" bestFit="1" customWidth="1"/>
    <col min="15885" max="15885" width="9.875" style="81" bestFit="1" customWidth="1"/>
    <col min="15886" max="15886" width="3.875" style="81" bestFit="1" customWidth="1"/>
    <col min="15887" max="16128" width="8.875" style="81"/>
    <col min="16129" max="16129" width="7.25" style="81" customWidth="1"/>
    <col min="16130" max="16130" width="2" style="81" customWidth="1"/>
    <col min="16131" max="16131" width="8.5" style="81" bestFit="1" customWidth="1"/>
    <col min="16132" max="16132" width="3.5" style="81" bestFit="1" customWidth="1"/>
    <col min="16133" max="16133" width="13.25" style="81" bestFit="1" customWidth="1"/>
    <col min="16134" max="16134" width="4.125" style="81" bestFit="1" customWidth="1"/>
    <col min="16135" max="16135" width="9.875" style="81" bestFit="1" customWidth="1"/>
    <col min="16136" max="16136" width="4.125" style="81" bestFit="1" customWidth="1"/>
    <col min="16137" max="16137" width="12" style="81" bestFit="1" customWidth="1"/>
    <col min="16138" max="16138" width="4.125" style="81" bestFit="1" customWidth="1"/>
    <col min="16139" max="16139" width="12" style="81" bestFit="1" customWidth="1"/>
    <col min="16140" max="16140" width="3.875" style="81" bestFit="1" customWidth="1"/>
    <col min="16141" max="16141" width="9.875" style="81" bestFit="1" customWidth="1"/>
    <col min="16142" max="16142" width="3.875" style="81" bestFit="1" customWidth="1"/>
    <col min="16143" max="16384" width="8.875" style="81"/>
  </cols>
  <sheetData>
    <row r="1" spans="1:14" ht="17.45" customHeight="1" thickBot="1">
      <c r="A1" s="32" t="s">
        <v>0</v>
      </c>
    </row>
    <row r="2" spans="1:14" ht="17.45" customHeight="1" thickBot="1">
      <c r="A2" s="3" t="s">
        <v>1</v>
      </c>
      <c r="B2" s="4"/>
      <c r="C2" s="5"/>
      <c r="D2" s="6"/>
      <c r="K2" s="55"/>
    </row>
    <row r="3" spans="1:14" ht="17.45" customHeight="1" thickTop="1" thickBot="1">
      <c r="A3" s="7" t="s">
        <v>2</v>
      </c>
      <c r="B3" s="8"/>
      <c r="C3" s="9">
        <v>8.06</v>
      </c>
      <c r="D3" s="10" t="s">
        <v>25</v>
      </c>
      <c r="E3" s="66">
        <v>2010000</v>
      </c>
      <c r="F3" s="59" t="s">
        <v>4</v>
      </c>
      <c r="G3" s="60">
        <f>ROUNDDOWN((C3*E3)/100,0)</f>
        <v>162006</v>
      </c>
      <c r="H3" s="59" t="s">
        <v>4</v>
      </c>
      <c r="I3" s="239">
        <f>G3+G4+G5</f>
        <v>237846</v>
      </c>
      <c r="J3" s="231" t="s">
        <v>4</v>
      </c>
      <c r="K3" s="229" t="s">
        <v>5</v>
      </c>
      <c r="L3" s="230"/>
      <c r="M3" s="230"/>
      <c r="N3" s="231"/>
    </row>
    <row r="4" spans="1:14" ht="17.45" customHeight="1" thickTop="1">
      <c r="A4" s="11" t="s">
        <v>6</v>
      </c>
      <c r="B4" s="12"/>
      <c r="C4" s="13">
        <v>26400</v>
      </c>
      <c r="D4" s="14" t="s">
        <v>4</v>
      </c>
      <c r="E4" s="67">
        <v>2</v>
      </c>
      <c r="F4" s="12" t="s">
        <v>7</v>
      </c>
      <c r="G4" s="13">
        <f>ROUNDDOWN(C4*E4,0)</f>
        <v>52800</v>
      </c>
      <c r="H4" s="12" t="s">
        <v>4</v>
      </c>
      <c r="I4" s="233"/>
      <c r="J4" s="228"/>
      <c r="K4" s="39" t="s">
        <v>8</v>
      </c>
      <c r="L4" s="40"/>
      <c r="M4" s="38" t="s">
        <v>9</v>
      </c>
      <c r="N4" s="41"/>
    </row>
    <row r="5" spans="1:14" ht="17.45" customHeight="1" thickBot="1">
      <c r="A5" s="15" t="s">
        <v>10</v>
      </c>
      <c r="B5" s="16"/>
      <c r="C5" s="17">
        <v>23040</v>
      </c>
      <c r="D5" s="18" t="s">
        <v>4</v>
      </c>
      <c r="E5" s="50"/>
      <c r="F5" s="12"/>
      <c r="G5" s="13">
        <f>C5</f>
        <v>23040</v>
      </c>
      <c r="H5" s="12" t="s">
        <v>4</v>
      </c>
      <c r="I5" s="234"/>
      <c r="J5" s="236"/>
      <c r="K5" s="42">
        <f>I3</f>
        <v>237846</v>
      </c>
      <c r="L5" s="43" t="s">
        <v>4</v>
      </c>
      <c r="M5" s="44">
        <f>ROUNDDOWN(K5/12,0)</f>
        <v>19820</v>
      </c>
      <c r="N5" s="45" t="s">
        <v>4</v>
      </c>
    </row>
    <row r="6" spans="1:14" ht="17.45" customHeight="1" thickBot="1">
      <c r="A6" s="3" t="s">
        <v>11</v>
      </c>
      <c r="B6" s="4"/>
      <c r="C6" s="5"/>
      <c r="D6" s="6"/>
      <c r="E6" s="61"/>
      <c r="F6" s="35"/>
      <c r="G6" s="62"/>
      <c r="H6" s="35"/>
      <c r="I6" s="35"/>
      <c r="J6" s="35"/>
      <c r="K6" s="35"/>
      <c r="L6" s="35"/>
      <c r="M6" s="35"/>
      <c r="N6" s="37"/>
    </row>
    <row r="7" spans="1:14" ht="17.45" customHeight="1" thickTop="1" thickBot="1">
      <c r="A7" s="7" t="s">
        <v>2</v>
      </c>
      <c r="B7" s="8"/>
      <c r="C7" s="9">
        <v>2.4700000000000002</v>
      </c>
      <c r="D7" s="10" t="s">
        <v>25</v>
      </c>
      <c r="E7" s="68">
        <f>E3</f>
        <v>2010000</v>
      </c>
      <c r="F7" s="12" t="s">
        <v>4</v>
      </c>
      <c r="G7" s="13">
        <f>ROUNDDOWN((C7*E7)/100,0)</f>
        <v>49647</v>
      </c>
      <c r="H7" s="12" t="s">
        <v>4</v>
      </c>
      <c r="I7" s="232">
        <f>G7+G8+G9</f>
        <v>71727</v>
      </c>
      <c r="J7" s="235" t="s">
        <v>4</v>
      </c>
      <c r="K7" s="229" t="s">
        <v>12</v>
      </c>
      <c r="L7" s="230"/>
      <c r="M7" s="230"/>
      <c r="N7" s="231"/>
    </row>
    <row r="8" spans="1:14" ht="17.45" customHeight="1" thickTop="1">
      <c r="A8" s="11" t="s">
        <v>6</v>
      </c>
      <c r="B8" s="12"/>
      <c r="C8" s="13">
        <v>7680</v>
      </c>
      <c r="D8" s="14" t="s">
        <v>4</v>
      </c>
      <c r="E8" s="68">
        <f>E4</f>
        <v>2</v>
      </c>
      <c r="F8" s="12" t="s">
        <v>7</v>
      </c>
      <c r="G8" s="13">
        <f>ROUNDDOWN(C8*E8,0)</f>
        <v>15360</v>
      </c>
      <c r="H8" s="12" t="s">
        <v>4</v>
      </c>
      <c r="I8" s="233"/>
      <c r="J8" s="228"/>
      <c r="K8" s="39" t="s">
        <v>8</v>
      </c>
      <c r="L8" s="40"/>
      <c r="M8" s="38" t="s">
        <v>9</v>
      </c>
      <c r="N8" s="41"/>
    </row>
    <row r="9" spans="1:14" ht="17.45" customHeight="1" thickBot="1">
      <c r="A9" s="15" t="s">
        <v>10</v>
      </c>
      <c r="B9" s="16"/>
      <c r="C9" s="17">
        <v>6720</v>
      </c>
      <c r="D9" s="18" t="s">
        <v>4</v>
      </c>
      <c r="E9" s="50"/>
      <c r="F9" s="12"/>
      <c r="G9" s="13">
        <f>C9</f>
        <v>6720</v>
      </c>
      <c r="H9" s="12" t="s">
        <v>4</v>
      </c>
      <c r="I9" s="234"/>
      <c r="J9" s="236"/>
      <c r="K9" s="42">
        <f>I7</f>
        <v>71727</v>
      </c>
      <c r="L9" s="43" t="s">
        <v>4</v>
      </c>
      <c r="M9" s="44">
        <f>ROUNDDOWN(K9/12,0)</f>
        <v>5977</v>
      </c>
      <c r="N9" s="45" t="s">
        <v>4</v>
      </c>
    </row>
    <row r="10" spans="1:14" ht="17.45" customHeight="1" thickBot="1">
      <c r="A10" s="20" t="s">
        <v>13</v>
      </c>
      <c r="B10" s="21"/>
      <c r="C10" s="22"/>
      <c r="D10" s="23"/>
      <c r="E10" s="61"/>
      <c r="F10" s="35"/>
      <c r="G10" s="62"/>
      <c r="H10" s="35"/>
      <c r="I10" s="35"/>
      <c r="J10" s="35"/>
      <c r="K10" s="35"/>
      <c r="L10" s="35"/>
      <c r="M10" s="35"/>
      <c r="N10" s="37"/>
    </row>
    <row r="11" spans="1:14" ht="17.45" customHeight="1" thickTop="1" thickBot="1">
      <c r="A11" s="24" t="s">
        <v>2</v>
      </c>
      <c r="B11" s="25"/>
      <c r="C11" s="26">
        <v>2.2799999999999998</v>
      </c>
      <c r="D11" s="27" t="s">
        <v>25</v>
      </c>
      <c r="E11" s="67">
        <v>2010000</v>
      </c>
      <c r="F11" s="12" t="s">
        <v>4</v>
      </c>
      <c r="G11" s="13">
        <f>ROUNDDOWN((C11*E11)/100,0)</f>
        <v>45828</v>
      </c>
      <c r="H11" s="12" t="s">
        <v>4</v>
      </c>
      <c r="I11" s="232">
        <f>G11+G12+G13</f>
        <v>59028</v>
      </c>
      <c r="J11" s="235" t="s">
        <v>4</v>
      </c>
      <c r="K11" s="229" t="s">
        <v>14</v>
      </c>
      <c r="L11" s="230"/>
      <c r="M11" s="230"/>
      <c r="N11" s="231"/>
    </row>
    <row r="12" spans="1:14" ht="17.45" customHeight="1" thickTop="1">
      <c r="A12" s="11" t="s">
        <v>6</v>
      </c>
      <c r="B12" s="12"/>
      <c r="C12" s="13">
        <v>8160</v>
      </c>
      <c r="D12" s="14" t="s">
        <v>4</v>
      </c>
      <c r="E12" s="67">
        <v>1</v>
      </c>
      <c r="F12" s="12" t="s">
        <v>7</v>
      </c>
      <c r="G12" s="13">
        <f>ROUNDDOWN(C12*E12,0)</f>
        <v>8160</v>
      </c>
      <c r="H12" s="12" t="s">
        <v>4</v>
      </c>
      <c r="I12" s="233"/>
      <c r="J12" s="228"/>
      <c r="K12" s="39" t="s">
        <v>8</v>
      </c>
      <c r="L12" s="40"/>
      <c r="M12" s="38" t="s">
        <v>9</v>
      </c>
      <c r="N12" s="41"/>
    </row>
    <row r="13" spans="1:14" ht="17.45" customHeight="1" thickBot="1">
      <c r="A13" s="28" t="s">
        <v>10</v>
      </c>
      <c r="B13" s="29"/>
      <c r="C13" s="30">
        <v>5040</v>
      </c>
      <c r="D13" s="31" t="s">
        <v>4</v>
      </c>
      <c r="E13" s="63"/>
      <c r="F13" s="29"/>
      <c r="G13" s="30">
        <f>C13</f>
        <v>5040</v>
      </c>
      <c r="H13" s="29" t="s">
        <v>4</v>
      </c>
      <c r="I13" s="237"/>
      <c r="J13" s="238"/>
      <c r="K13" s="42">
        <f>I11</f>
        <v>59028</v>
      </c>
      <c r="L13" s="43" t="s">
        <v>4</v>
      </c>
      <c r="M13" s="44">
        <f>ROUNDDOWN(K13/12,0)</f>
        <v>4919</v>
      </c>
      <c r="N13" s="45" t="s">
        <v>4</v>
      </c>
    </row>
    <row r="14" spans="1:14" ht="17.45" customHeight="1" thickBot="1">
      <c r="K14" s="226" t="s">
        <v>15</v>
      </c>
      <c r="L14" s="227"/>
      <c r="M14" s="227"/>
      <c r="N14" s="228"/>
    </row>
    <row r="15" spans="1:14" ht="17.45" customHeight="1" thickTop="1">
      <c r="K15" s="39" t="s">
        <v>8</v>
      </c>
      <c r="L15" s="40"/>
      <c r="M15" s="38" t="s">
        <v>9</v>
      </c>
      <c r="N15" s="41"/>
    </row>
    <row r="16" spans="1:14" ht="17.45" customHeight="1" thickBot="1">
      <c r="K16" s="51">
        <f>K5+K9</f>
        <v>309573</v>
      </c>
      <c r="L16" s="52" t="s">
        <v>4</v>
      </c>
      <c r="M16" s="53">
        <f>ROUNDDOWN(K16/12,0)</f>
        <v>25797</v>
      </c>
      <c r="N16" s="54" t="s">
        <v>4</v>
      </c>
    </row>
    <row r="17" spans="1:14" ht="17.45" customHeight="1" thickBot="1">
      <c r="K17" s="226" t="s">
        <v>26</v>
      </c>
      <c r="L17" s="227"/>
      <c r="M17" s="227"/>
      <c r="N17" s="228"/>
    </row>
    <row r="18" spans="1:14" ht="17.45" customHeight="1" thickTop="1">
      <c r="K18" s="39" t="s">
        <v>8</v>
      </c>
      <c r="L18" s="40"/>
      <c r="M18" s="38" t="s">
        <v>9</v>
      </c>
      <c r="N18" s="41"/>
    </row>
    <row r="19" spans="1:14" ht="17.45" customHeight="1" thickBot="1">
      <c r="K19" s="46">
        <f>K16+K13</f>
        <v>368601</v>
      </c>
      <c r="L19" s="47" t="s">
        <v>4</v>
      </c>
      <c r="M19" s="48">
        <f>ROUNDDOWN(K19/12,0)</f>
        <v>30716</v>
      </c>
      <c r="N19" s="49" t="s">
        <v>4</v>
      </c>
    </row>
    <row r="20" spans="1:14" ht="17.45" customHeight="1">
      <c r="K20" s="56"/>
      <c r="L20" s="57"/>
      <c r="M20" s="58"/>
      <c r="N20" s="57"/>
    </row>
    <row r="21" spans="1:14" ht="17.45" customHeight="1">
      <c r="K21" s="56"/>
      <c r="L21" s="57"/>
      <c r="M21" s="58"/>
      <c r="N21" s="57"/>
    </row>
    <row r="22" spans="1:14" ht="17.45" customHeight="1">
      <c r="K22" s="56"/>
      <c r="L22" s="57"/>
      <c r="M22" s="58"/>
      <c r="N22" s="57"/>
    </row>
    <row r="23" spans="1:14" ht="17.45" customHeight="1">
      <c r="K23" s="56"/>
      <c r="L23" s="57"/>
      <c r="M23" s="58"/>
      <c r="N23" s="57"/>
    </row>
    <row r="24" spans="1:14" ht="17.45" customHeight="1">
      <c r="K24" s="56"/>
      <c r="L24" s="57"/>
      <c r="M24" s="58"/>
      <c r="N24" s="57"/>
    </row>
    <row r="25" spans="1:14" ht="17.45" customHeight="1">
      <c r="K25" s="56"/>
      <c r="L25" s="57"/>
      <c r="M25" s="58"/>
      <c r="N25" s="57"/>
    </row>
    <row r="27" spans="1:14" ht="17.45" customHeight="1" thickBot="1">
      <c r="A27" s="32" t="s">
        <v>16</v>
      </c>
    </row>
    <row r="28" spans="1:14" ht="17.45" customHeight="1" thickBot="1">
      <c r="A28" s="3" t="s">
        <v>1</v>
      </c>
      <c r="B28" s="4"/>
      <c r="C28" s="5"/>
      <c r="D28" s="6"/>
    </row>
    <row r="29" spans="1:14" ht="17.45" customHeight="1" thickTop="1" thickBot="1">
      <c r="A29" s="7" t="s">
        <v>2</v>
      </c>
      <c r="B29" s="8"/>
      <c r="C29" s="9">
        <f>C3</f>
        <v>8.06</v>
      </c>
      <c r="D29" s="10" t="s">
        <v>25</v>
      </c>
      <c r="E29" s="66">
        <v>373675</v>
      </c>
      <c r="F29" s="59" t="s">
        <v>4</v>
      </c>
      <c r="G29" s="60">
        <f>ROUNDDOWN((C29*E29)/100,0)</f>
        <v>30118</v>
      </c>
      <c r="H29" s="59" t="s">
        <v>4</v>
      </c>
      <c r="I29" s="239">
        <f>G29+G30+G31</f>
        <v>90790</v>
      </c>
      <c r="J29" s="231" t="s">
        <v>4</v>
      </c>
      <c r="K29" s="243" t="s">
        <v>5</v>
      </c>
      <c r="L29" s="244"/>
      <c r="M29" s="244"/>
      <c r="N29" s="245"/>
    </row>
    <row r="30" spans="1:14" ht="17.45" customHeight="1" thickTop="1">
      <c r="A30" s="11" t="s">
        <v>6</v>
      </c>
      <c r="B30" s="12"/>
      <c r="C30" s="13">
        <f>C4*0.8</f>
        <v>21120</v>
      </c>
      <c r="D30" s="14" t="s">
        <v>4</v>
      </c>
      <c r="E30" s="67">
        <v>2</v>
      </c>
      <c r="F30" s="12" t="s">
        <v>7</v>
      </c>
      <c r="G30" s="13">
        <f>ROUNDDOWN(C30*E30,0)</f>
        <v>42240</v>
      </c>
      <c r="H30" s="12" t="s">
        <v>4</v>
      </c>
      <c r="I30" s="233"/>
      <c r="J30" s="228"/>
      <c r="K30" s="34" t="s">
        <v>8</v>
      </c>
      <c r="L30" s="35"/>
      <c r="M30" s="38" t="s">
        <v>9</v>
      </c>
      <c r="N30" s="37"/>
    </row>
    <row r="31" spans="1:14" ht="17.45" customHeight="1" thickBot="1">
      <c r="A31" s="15" t="s">
        <v>10</v>
      </c>
      <c r="B31" s="16"/>
      <c r="C31" s="17">
        <f>C5*0.8</f>
        <v>18432</v>
      </c>
      <c r="D31" s="18" t="s">
        <v>4</v>
      </c>
      <c r="E31" s="50"/>
      <c r="F31" s="12"/>
      <c r="G31" s="13">
        <f>C31</f>
        <v>18432</v>
      </c>
      <c r="H31" s="12" t="s">
        <v>4</v>
      </c>
      <c r="I31" s="234"/>
      <c r="J31" s="236"/>
      <c r="K31" s="42">
        <f>I29</f>
        <v>90790</v>
      </c>
      <c r="L31" s="43" t="s">
        <v>4</v>
      </c>
      <c r="M31" s="44">
        <f>ROUNDDOWN(K31/12,0)</f>
        <v>7565</v>
      </c>
      <c r="N31" s="45" t="s">
        <v>4</v>
      </c>
    </row>
    <row r="32" spans="1:14" ht="17.45" customHeight="1" thickBot="1">
      <c r="A32" s="3" t="s">
        <v>11</v>
      </c>
      <c r="B32" s="4"/>
      <c r="C32" s="5"/>
      <c r="D32" s="6"/>
      <c r="E32" s="61"/>
      <c r="F32" s="35"/>
      <c r="G32" s="62"/>
      <c r="H32" s="35"/>
      <c r="I32" s="35"/>
      <c r="J32" s="37"/>
      <c r="K32" s="34"/>
      <c r="L32" s="35"/>
      <c r="M32" s="35"/>
      <c r="N32" s="37"/>
    </row>
    <row r="33" spans="1:14" ht="17.45" customHeight="1" thickTop="1" thickBot="1">
      <c r="A33" s="7" t="s">
        <v>2</v>
      </c>
      <c r="B33" s="8"/>
      <c r="C33" s="9">
        <f>C7</f>
        <v>2.4700000000000002</v>
      </c>
      <c r="D33" s="10" t="s">
        <v>25</v>
      </c>
      <c r="E33" s="68">
        <f>E29</f>
        <v>373675</v>
      </c>
      <c r="F33" s="12" t="s">
        <v>4</v>
      </c>
      <c r="G33" s="13">
        <f>ROUNDDOWN((C33*E33)/100,0)</f>
        <v>9229</v>
      </c>
      <c r="H33" s="12" t="s">
        <v>4</v>
      </c>
      <c r="I33" s="232">
        <f>G33+G34+G35</f>
        <v>26893</v>
      </c>
      <c r="J33" s="235" t="s">
        <v>4</v>
      </c>
      <c r="K33" s="243" t="s">
        <v>12</v>
      </c>
      <c r="L33" s="244"/>
      <c r="M33" s="244"/>
      <c r="N33" s="245"/>
    </row>
    <row r="34" spans="1:14" ht="17.45" customHeight="1" thickTop="1">
      <c r="A34" s="11" t="s">
        <v>6</v>
      </c>
      <c r="B34" s="12"/>
      <c r="C34" s="13">
        <f>C8*0.8</f>
        <v>6144</v>
      </c>
      <c r="D34" s="14" t="s">
        <v>4</v>
      </c>
      <c r="E34" s="68">
        <f>E30</f>
        <v>2</v>
      </c>
      <c r="F34" s="12" t="s">
        <v>7</v>
      </c>
      <c r="G34" s="13">
        <f>ROUNDDOWN(C34*E34,0)</f>
        <v>12288</v>
      </c>
      <c r="H34" s="12" t="s">
        <v>4</v>
      </c>
      <c r="I34" s="233"/>
      <c r="J34" s="228"/>
      <c r="K34" s="34" t="s">
        <v>8</v>
      </c>
      <c r="L34" s="35"/>
      <c r="M34" s="36" t="s">
        <v>9</v>
      </c>
      <c r="N34" s="37"/>
    </row>
    <row r="35" spans="1:14" ht="17.45" customHeight="1" thickBot="1">
      <c r="A35" s="15" t="s">
        <v>10</v>
      </c>
      <c r="B35" s="16"/>
      <c r="C35" s="17">
        <f>C9*0.8</f>
        <v>5376</v>
      </c>
      <c r="D35" s="18" t="s">
        <v>4</v>
      </c>
      <c r="E35" s="50"/>
      <c r="F35" s="12"/>
      <c r="G35" s="13">
        <f>C35</f>
        <v>5376</v>
      </c>
      <c r="H35" s="12" t="s">
        <v>4</v>
      </c>
      <c r="I35" s="234"/>
      <c r="J35" s="236"/>
      <c r="K35" s="42">
        <f>I33</f>
        <v>26893</v>
      </c>
      <c r="L35" s="43" t="s">
        <v>4</v>
      </c>
      <c r="M35" s="44">
        <f>ROUNDDOWN(K35/12,0)</f>
        <v>2241</v>
      </c>
      <c r="N35" s="45" t="s">
        <v>4</v>
      </c>
    </row>
    <row r="36" spans="1:14" ht="17.45" customHeight="1" thickBot="1">
      <c r="A36" s="20" t="s">
        <v>13</v>
      </c>
      <c r="B36" s="21"/>
      <c r="C36" s="22"/>
      <c r="D36" s="23"/>
      <c r="E36" s="61"/>
      <c r="F36" s="35"/>
      <c r="G36" s="62"/>
      <c r="H36" s="35"/>
      <c r="I36" s="35"/>
      <c r="J36" s="37"/>
      <c r="K36" s="34"/>
      <c r="L36" s="35"/>
      <c r="M36" s="35"/>
      <c r="N36" s="37"/>
    </row>
    <row r="37" spans="1:14" ht="17.45" customHeight="1" thickTop="1" thickBot="1">
      <c r="A37" s="24" t="s">
        <v>2</v>
      </c>
      <c r="B37" s="25"/>
      <c r="C37" s="26">
        <f>C11</f>
        <v>2.2799999999999998</v>
      </c>
      <c r="D37" s="27" t="s">
        <v>25</v>
      </c>
      <c r="E37" s="67">
        <v>16675</v>
      </c>
      <c r="F37" s="12" t="s">
        <v>4</v>
      </c>
      <c r="G37" s="13">
        <f>ROUNDDOWN((C37*E37)/100,0)</f>
        <v>380</v>
      </c>
      <c r="H37" s="12" t="s">
        <v>4</v>
      </c>
      <c r="I37" s="232">
        <f>G37+G38+G39</f>
        <v>10940</v>
      </c>
      <c r="J37" s="235" t="s">
        <v>4</v>
      </c>
      <c r="K37" s="243" t="s">
        <v>14</v>
      </c>
      <c r="L37" s="244"/>
      <c r="M37" s="244"/>
      <c r="N37" s="245"/>
    </row>
    <row r="38" spans="1:14" ht="17.45" customHeight="1" thickTop="1">
      <c r="A38" s="11" t="s">
        <v>6</v>
      </c>
      <c r="B38" s="12"/>
      <c r="C38" s="13">
        <f>C12*0.8</f>
        <v>6528</v>
      </c>
      <c r="D38" s="14" t="s">
        <v>4</v>
      </c>
      <c r="E38" s="67">
        <v>1</v>
      </c>
      <c r="F38" s="12" t="s">
        <v>7</v>
      </c>
      <c r="G38" s="13">
        <f>ROUNDDOWN(C38*E38,0)</f>
        <v>6528</v>
      </c>
      <c r="H38" s="12" t="s">
        <v>4</v>
      </c>
      <c r="I38" s="233"/>
      <c r="J38" s="228"/>
      <c r="K38" s="34" t="s">
        <v>8</v>
      </c>
      <c r="L38" s="35"/>
      <c r="M38" s="36" t="s">
        <v>9</v>
      </c>
      <c r="N38" s="37"/>
    </row>
    <row r="39" spans="1:14" ht="17.45" customHeight="1" thickBot="1">
      <c r="A39" s="28" t="s">
        <v>10</v>
      </c>
      <c r="B39" s="29"/>
      <c r="C39" s="30">
        <f>C13*0.8</f>
        <v>4032</v>
      </c>
      <c r="D39" s="31" t="s">
        <v>4</v>
      </c>
      <c r="E39" s="63"/>
      <c r="F39" s="29"/>
      <c r="G39" s="30">
        <f>C39</f>
        <v>4032</v>
      </c>
      <c r="H39" s="29" t="s">
        <v>4</v>
      </c>
      <c r="I39" s="237"/>
      <c r="J39" s="238"/>
      <c r="K39" s="46">
        <f>I37</f>
        <v>10940</v>
      </c>
      <c r="L39" s="47" t="s">
        <v>4</v>
      </c>
      <c r="M39" s="48">
        <f>ROUNDDOWN(K39/12,0)</f>
        <v>911</v>
      </c>
      <c r="N39" s="49" t="s">
        <v>4</v>
      </c>
    </row>
    <row r="40" spans="1:14" ht="17.45" customHeight="1" thickBot="1">
      <c r="K40" s="229" t="s">
        <v>15</v>
      </c>
      <c r="L40" s="230"/>
      <c r="M40" s="230"/>
      <c r="N40" s="231"/>
    </row>
    <row r="41" spans="1:14" ht="17.45" customHeight="1" thickTop="1">
      <c r="K41" s="39" t="s">
        <v>8</v>
      </c>
      <c r="L41" s="40"/>
      <c r="M41" s="38" t="s">
        <v>9</v>
      </c>
      <c r="N41" s="41"/>
    </row>
    <row r="42" spans="1:14" ht="17.45" customHeight="1" thickBot="1">
      <c r="K42" s="51">
        <f>K31+K35</f>
        <v>117683</v>
      </c>
      <c r="L42" s="52" t="s">
        <v>4</v>
      </c>
      <c r="M42" s="53">
        <f>ROUNDDOWN(K42/12,0)</f>
        <v>9806</v>
      </c>
      <c r="N42" s="54" t="s">
        <v>4</v>
      </c>
    </row>
    <row r="43" spans="1:14" ht="17.45" customHeight="1" thickBot="1">
      <c r="K43" s="226" t="s">
        <v>26</v>
      </c>
      <c r="L43" s="227"/>
      <c r="M43" s="227"/>
      <c r="N43" s="228"/>
    </row>
    <row r="44" spans="1:14" ht="17.45" customHeight="1" thickTop="1">
      <c r="K44" s="39" t="s">
        <v>8</v>
      </c>
      <c r="L44" s="40"/>
      <c r="M44" s="38" t="s">
        <v>9</v>
      </c>
      <c r="N44" s="41"/>
    </row>
    <row r="45" spans="1:14" ht="17.45" customHeight="1" thickBot="1">
      <c r="K45" s="46">
        <f>K42+K39</f>
        <v>128623</v>
      </c>
      <c r="L45" s="47" t="s">
        <v>4</v>
      </c>
      <c r="M45" s="48">
        <f>ROUNDDOWN(K45/12,0)</f>
        <v>10718</v>
      </c>
      <c r="N45" s="49" t="s">
        <v>4</v>
      </c>
    </row>
    <row r="49" spans="1:17" ht="17.45" customHeight="1" thickBot="1">
      <c r="A49" s="32" t="s">
        <v>17</v>
      </c>
    </row>
    <row r="50" spans="1:17" ht="17.45" customHeight="1" thickBot="1">
      <c r="A50" s="3" t="s">
        <v>1</v>
      </c>
      <c r="B50" s="4"/>
      <c r="C50" s="5"/>
      <c r="D50" s="6"/>
    </row>
    <row r="51" spans="1:17" ht="17.45" customHeight="1" thickTop="1" thickBot="1">
      <c r="A51" s="7" t="s">
        <v>2</v>
      </c>
      <c r="B51" s="8"/>
      <c r="C51" s="9">
        <f>C3</f>
        <v>8.06</v>
      </c>
      <c r="D51" s="10" t="s">
        <v>25</v>
      </c>
      <c r="E51" s="66">
        <v>172920</v>
      </c>
      <c r="F51" s="59" t="s">
        <v>4</v>
      </c>
      <c r="G51" s="60">
        <f>ROUNDDOWN((C51*E51)/100,0)</f>
        <v>13937</v>
      </c>
      <c r="H51" s="59" t="s">
        <v>4</v>
      </c>
      <c r="I51" s="239">
        <f>G51+G52+G53</f>
        <v>91457</v>
      </c>
      <c r="J51" s="231" t="s">
        <v>4</v>
      </c>
      <c r="K51" s="243" t="s">
        <v>5</v>
      </c>
      <c r="L51" s="244"/>
      <c r="M51" s="244"/>
      <c r="N51" s="245"/>
    </row>
    <row r="52" spans="1:17" ht="17.45" customHeight="1" thickTop="1">
      <c r="A52" s="11" t="s">
        <v>6</v>
      </c>
      <c r="B52" s="12"/>
      <c r="C52" s="13">
        <f>C4*0.5</f>
        <v>13200</v>
      </c>
      <c r="D52" s="14" t="s">
        <v>4</v>
      </c>
      <c r="E52" s="67">
        <v>5</v>
      </c>
      <c r="F52" s="12" t="s">
        <v>7</v>
      </c>
      <c r="G52" s="13">
        <f>ROUNDDOWN(C52*E52,0)</f>
        <v>66000</v>
      </c>
      <c r="H52" s="12" t="s">
        <v>4</v>
      </c>
      <c r="I52" s="233"/>
      <c r="J52" s="228"/>
      <c r="K52" s="34" t="s">
        <v>8</v>
      </c>
      <c r="L52" s="35"/>
      <c r="M52" s="36" t="s">
        <v>9</v>
      </c>
      <c r="N52" s="37"/>
    </row>
    <row r="53" spans="1:17" ht="17.45" customHeight="1" thickBot="1">
      <c r="A53" s="15" t="s">
        <v>10</v>
      </c>
      <c r="B53" s="16"/>
      <c r="C53" s="17">
        <f>C5*0.5</f>
        <v>11520</v>
      </c>
      <c r="D53" s="18" t="s">
        <v>4</v>
      </c>
      <c r="E53" s="83"/>
      <c r="F53" s="12"/>
      <c r="G53" s="13">
        <f>C53</f>
        <v>11520</v>
      </c>
      <c r="H53" s="12" t="s">
        <v>4</v>
      </c>
      <c r="I53" s="234"/>
      <c r="J53" s="236"/>
      <c r="K53" s="42">
        <f>I51</f>
        <v>91457</v>
      </c>
      <c r="L53" s="43" t="s">
        <v>4</v>
      </c>
      <c r="M53" s="44">
        <f>ROUNDDOWN(K53/12,0)</f>
        <v>7621</v>
      </c>
      <c r="N53" s="45" t="s">
        <v>4</v>
      </c>
    </row>
    <row r="54" spans="1:17" ht="17.45" customHeight="1" thickBot="1">
      <c r="A54" s="3" t="s">
        <v>11</v>
      </c>
      <c r="B54" s="4"/>
      <c r="C54" s="5"/>
      <c r="D54" s="6"/>
      <c r="E54" s="84"/>
      <c r="F54" s="35"/>
      <c r="G54" s="62"/>
      <c r="H54" s="35"/>
      <c r="I54" s="35"/>
      <c r="J54" s="37"/>
      <c r="K54" s="34"/>
      <c r="L54" s="35"/>
      <c r="M54" s="35"/>
      <c r="N54" s="37"/>
    </row>
    <row r="55" spans="1:17" ht="17.45" customHeight="1" thickTop="1">
      <c r="A55" s="7" t="s">
        <v>2</v>
      </c>
      <c r="B55" s="8"/>
      <c r="C55" s="9">
        <f>C7</f>
        <v>2.4700000000000002</v>
      </c>
      <c r="D55" s="10" t="s">
        <v>25</v>
      </c>
      <c r="E55" s="68">
        <f>E51</f>
        <v>172920</v>
      </c>
      <c r="F55" s="12" t="s">
        <v>4</v>
      </c>
      <c r="G55" s="13">
        <f>ROUNDDOWN((C55*E55)/100,0)</f>
        <v>4271</v>
      </c>
      <c r="H55" s="12" t="s">
        <v>4</v>
      </c>
      <c r="I55" s="232">
        <f>G55+G56+G57</f>
        <v>26831</v>
      </c>
      <c r="J55" s="235" t="s">
        <v>4</v>
      </c>
      <c r="K55" s="229" t="s">
        <v>12</v>
      </c>
      <c r="L55" s="230"/>
      <c r="M55" s="230"/>
      <c r="N55" s="231"/>
      <c r="O55" s="19"/>
      <c r="Q55" s="2"/>
    </row>
    <row r="56" spans="1:17" ht="17.45" customHeight="1">
      <c r="A56" s="11" t="s">
        <v>6</v>
      </c>
      <c r="B56" s="12"/>
      <c r="C56" s="13">
        <f>C8*0.5</f>
        <v>3840</v>
      </c>
      <c r="D56" s="14" t="s">
        <v>4</v>
      </c>
      <c r="E56" s="68">
        <f>E52</f>
        <v>5</v>
      </c>
      <c r="F56" s="12" t="s">
        <v>7</v>
      </c>
      <c r="G56" s="13">
        <f>ROUNDDOWN(C56*E56,0)</f>
        <v>19200</v>
      </c>
      <c r="H56" s="12" t="s">
        <v>4</v>
      </c>
      <c r="I56" s="233"/>
      <c r="J56" s="228"/>
      <c r="K56" s="34" t="s">
        <v>8</v>
      </c>
      <c r="L56" s="35"/>
      <c r="M56" s="36" t="s">
        <v>9</v>
      </c>
      <c r="N56" s="37"/>
    </row>
    <row r="57" spans="1:17" ht="17.45" customHeight="1" thickBot="1">
      <c r="A57" s="11" t="s">
        <v>10</v>
      </c>
      <c r="B57" s="12"/>
      <c r="C57" s="13">
        <f>C9*0.5</f>
        <v>3360</v>
      </c>
      <c r="D57" s="14" t="s">
        <v>4</v>
      </c>
      <c r="E57" s="83"/>
      <c r="F57" s="12"/>
      <c r="G57" s="13">
        <f>C57</f>
        <v>3360</v>
      </c>
      <c r="H57" s="12" t="s">
        <v>4</v>
      </c>
      <c r="I57" s="234"/>
      <c r="J57" s="236"/>
      <c r="K57" s="85">
        <f>I55</f>
        <v>26831</v>
      </c>
      <c r="L57" s="86" t="s">
        <v>4</v>
      </c>
      <c r="M57" s="87">
        <f>ROUNDDOWN(K57/12,0)</f>
        <v>2235</v>
      </c>
      <c r="N57" s="88" t="s">
        <v>4</v>
      </c>
    </row>
    <row r="58" spans="1:17" ht="17.45" customHeight="1" thickBot="1">
      <c r="A58" s="20" t="s">
        <v>13</v>
      </c>
      <c r="B58" s="21"/>
      <c r="C58" s="22"/>
      <c r="D58" s="23"/>
      <c r="E58" s="84"/>
      <c r="F58" s="35"/>
      <c r="G58" s="62"/>
      <c r="H58" s="35"/>
      <c r="I58" s="35"/>
      <c r="J58" s="37"/>
      <c r="K58" s="34"/>
      <c r="L58" s="35"/>
      <c r="M58" s="35"/>
      <c r="N58" s="37"/>
    </row>
    <row r="59" spans="1:17" ht="17.45" customHeight="1" thickTop="1" thickBot="1">
      <c r="A59" s="24" t="s">
        <v>2</v>
      </c>
      <c r="B59" s="25"/>
      <c r="C59" s="26">
        <f>C11</f>
        <v>2.2799999999999998</v>
      </c>
      <c r="D59" s="27" t="s">
        <v>25</v>
      </c>
      <c r="E59" s="67">
        <v>0</v>
      </c>
      <c r="F59" s="12" t="s">
        <v>4</v>
      </c>
      <c r="G59" s="13">
        <f>ROUNDDOWN((C59*E59)/100,0)</f>
        <v>0</v>
      </c>
      <c r="H59" s="12" t="s">
        <v>4</v>
      </c>
      <c r="I59" s="232">
        <f>G59+G60+G61</f>
        <v>6600</v>
      </c>
      <c r="J59" s="235" t="s">
        <v>4</v>
      </c>
      <c r="K59" s="243" t="s">
        <v>14</v>
      </c>
      <c r="L59" s="244"/>
      <c r="M59" s="244"/>
      <c r="N59" s="245"/>
    </row>
    <row r="60" spans="1:17" ht="17.45" customHeight="1" thickTop="1">
      <c r="A60" s="11" t="s">
        <v>6</v>
      </c>
      <c r="B60" s="12"/>
      <c r="C60" s="13">
        <f>C12*0.5</f>
        <v>4080</v>
      </c>
      <c r="D60" s="14" t="s">
        <v>4</v>
      </c>
      <c r="E60" s="67">
        <v>1</v>
      </c>
      <c r="F60" s="12" t="s">
        <v>7</v>
      </c>
      <c r="G60" s="13">
        <f>ROUNDDOWN(C60*E60,0)</f>
        <v>4080</v>
      </c>
      <c r="H60" s="12" t="s">
        <v>4</v>
      </c>
      <c r="I60" s="233"/>
      <c r="J60" s="228"/>
      <c r="K60" s="34" t="s">
        <v>8</v>
      </c>
      <c r="L60" s="35"/>
      <c r="M60" s="36" t="s">
        <v>9</v>
      </c>
      <c r="N60" s="37"/>
    </row>
    <row r="61" spans="1:17" ht="17.45" customHeight="1" thickBot="1">
      <c r="A61" s="28" t="s">
        <v>10</v>
      </c>
      <c r="B61" s="29"/>
      <c r="C61" s="30">
        <f>C13*0.5</f>
        <v>2520</v>
      </c>
      <c r="D61" s="31" t="s">
        <v>4</v>
      </c>
      <c r="E61" s="89"/>
      <c r="F61" s="29"/>
      <c r="G61" s="30">
        <f>C61</f>
        <v>2520</v>
      </c>
      <c r="H61" s="29" t="s">
        <v>4</v>
      </c>
      <c r="I61" s="237"/>
      <c r="J61" s="238"/>
      <c r="K61" s="46">
        <f>I59</f>
        <v>6600</v>
      </c>
      <c r="L61" s="47" t="s">
        <v>4</v>
      </c>
      <c r="M61" s="48">
        <f>ROUNDDOWN(K61/12,0)</f>
        <v>550</v>
      </c>
      <c r="N61" s="49" t="s">
        <v>4</v>
      </c>
    </row>
    <row r="62" spans="1:17" ht="17.45" customHeight="1" thickBot="1">
      <c r="K62" s="229" t="s">
        <v>15</v>
      </c>
      <c r="L62" s="230"/>
      <c r="M62" s="230"/>
      <c r="N62" s="231"/>
    </row>
    <row r="63" spans="1:17" ht="17.45" customHeight="1" thickTop="1">
      <c r="K63" s="39" t="s">
        <v>8</v>
      </c>
      <c r="L63" s="40"/>
      <c r="M63" s="38" t="s">
        <v>9</v>
      </c>
      <c r="N63" s="41"/>
    </row>
    <row r="64" spans="1:17" ht="17.45" customHeight="1" thickBot="1">
      <c r="K64" s="51">
        <f>K53+K57</f>
        <v>118288</v>
      </c>
      <c r="L64" s="52" t="s">
        <v>4</v>
      </c>
      <c r="M64" s="53">
        <f>ROUNDDOWN(K64/12,0)</f>
        <v>9857</v>
      </c>
      <c r="N64" s="54" t="s">
        <v>4</v>
      </c>
    </row>
    <row r="65" spans="1:14" ht="17.45" customHeight="1" thickBot="1">
      <c r="K65" s="226" t="s">
        <v>26</v>
      </c>
      <c r="L65" s="227"/>
      <c r="M65" s="227"/>
      <c r="N65" s="228"/>
    </row>
    <row r="66" spans="1:14" ht="17.45" customHeight="1" thickTop="1">
      <c r="K66" s="39" t="s">
        <v>8</v>
      </c>
      <c r="L66" s="40"/>
      <c r="M66" s="38" t="s">
        <v>9</v>
      </c>
      <c r="N66" s="41"/>
    </row>
    <row r="67" spans="1:14" ht="17.45" customHeight="1" thickBot="1">
      <c r="K67" s="46">
        <f>K64+K61</f>
        <v>124888</v>
      </c>
      <c r="L67" s="47" t="s">
        <v>4</v>
      </c>
      <c r="M67" s="48">
        <f>ROUNDDOWN(K67/12,0)</f>
        <v>10407</v>
      </c>
      <c r="N67" s="49" t="s">
        <v>4</v>
      </c>
    </row>
    <row r="75" spans="1:14" ht="17.45" customHeight="1" thickBot="1">
      <c r="A75" s="32" t="s">
        <v>18</v>
      </c>
    </row>
    <row r="76" spans="1:14" ht="17.45" customHeight="1" thickBot="1">
      <c r="A76" s="3" t="s">
        <v>1</v>
      </c>
      <c r="B76" s="4"/>
      <c r="C76" s="5"/>
      <c r="D76" s="6"/>
      <c r="I76" s="33"/>
      <c r="J76" s="33"/>
      <c r="K76" s="243" t="s">
        <v>5</v>
      </c>
      <c r="L76" s="244"/>
      <c r="M76" s="244"/>
      <c r="N76" s="245"/>
    </row>
    <row r="77" spans="1:14" ht="17.45" customHeight="1" thickTop="1">
      <c r="A77" s="11" t="s">
        <v>6</v>
      </c>
      <c r="B77" s="12"/>
      <c r="C77" s="13">
        <f>C4*0.3</f>
        <v>7920</v>
      </c>
      <c r="D77" s="14" t="s">
        <v>4</v>
      </c>
      <c r="E77" s="66">
        <v>4</v>
      </c>
      <c r="F77" s="59" t="s">
        <v>7</v>
      </c>
      <c r="G77" s="60">
        <f>ROUNDDOWN(C77*E77,0)</f>
        <v>31680</v>
      </c>
      <c r="H77" s="59" t="s">
        <v>4</v>
      </c>
      <c r="I77" s="239">
        <f>G77+G78</f>
        <v>38592</v>
      </c>
      <c r="J77" s="231" t="s">
        <v>4</v>
      </c>
      <c r="K77" s="34" t="s">
        <v>8</v>
      </c>
      <c r="L77" s="35"/>
      <c r="M77" s="36" t="s">
        <v>9</v>
      </c>
      <c r="N77" s="37"/>
    </row>
    <row r="78" spans="1:14" ht="17.45" customHeight="1" thickBot="1">
      <c r="A78" s="15" t="s">
        <v>10</v>
      </c>
      <c r="B78" s="16"/>
      <c r="C78" s="17">
        <f>C5*0.3</f>
        <v>6912</v>
      </c>
      <c r="D78" s="18" t="s">
        <v>4</v>
      </c>
      <c r="E78" s="50"/>
      <c r="F78" s="12"/>
      <c r="G78" s="13">
        <f>C78</f>
        <v>6912</v>
      </c>
      <c r="H78" s="12" t="s">
        <v>4</v>
      </c>
      <c r="I78" s="234"/>
      <c r="J78" s="236"/>
      <c r="K78" s="42">
        <f>I77</f>
        <v>38592</v>
      </c>
      <c r="L78" s="43" t="s">
        <v>4</v>
      </c>
      <c r="M78" s="44">
        <f>ROUNDDOWN(K78/12,0)</f>
        <v>3216</v>
      </c>
      <c r="N78" s="45" t="s">
        <v>4</v>
      </c>
    </row>
    <row r="79" spans="1:14" ht="17.45" customHeight="1" thickBot="1">
      <c r="A79" s="3" t="s">
        <v>11</v>
      </c>
      <c r="B79" s="4"/>
      <c r="C79" s="5"/>
      <c r="D79" s="6"/>
      <c r="E79" s="61"/>
      <c r="F79" s="35"/>
      <c r="G79" s="62"/>
      <c r="H79" s="35"/>
      <c r="I79" s="64"/>
      <c r="J79" s="65"/>
      <c r="K79" s="243" t="s">
        <v>12</v>
      </c>
      <c r="L79" s="244"/>
      <c r="M79" s="244"/>
      <c r="N79" s="245"/>
    </row>
    <row r="80" spans="1:14" ht="17.45" customHeight="1" thickTop="1">
      <c r="A80" s="11" t="s">
        <v>6</v>
      </c>
      <c r="B80" s="12"/>
      <c r="C80" s="13">
        <f>C8*0.3</f>
        <v>2304</v>
      </c>
      <c r="D80" s="14" t="s">
        <v>4</v>
      </c>
      <c r="E80" s="68">
        <f>E77</f>
        <v>4</v>
      </c>
      <c r="F80" s="12" t="s">
        <v>7</v>
      </c>
      <c r="G80" s="13">
        <f>ROUNDDOWN(C80*E80,0)</f>
        <v>9216</v>
      </c>
      <c r="H80" s="12" t="s">
        <v>4</v>
      </c>
      <c r="I80" s="232">
        <f>G80+G81</f>
        <v>11232</v>
      </c>
      <c r="J80" s="235" t="s">
        <v>4</v>
      </c>
      <c r="K80" s="34" t="s">
        <v>8</v>
      </c>
      <c r="L80" s="35"/>
      <c r="M80" s="36" t="s">
        <v>9</v>
      </c>
      <c r="N80" s="37"/>
    </row>
    <row r="81" spans="1:14" ht="17.45" customHeight="1" thickBot="1">
      <c r="A81" s="15" t="s">
        <v>10</v>
      </c>
      <c r="B81" s="16"/>
      <c r="C81" s="17">
        <f>C9*0.3</f>
        <v>2016</v>
      </c>
      <c r="D81" s="18" t="s">
        <v>4</v>
      </c>
      <c r="E81" s="50"/>
      <c r="F81" s="12"/>
      <c r="G81" s="13">
        <f>C81</f>
        <v>2016</v>
      </c>
      <c r="H81" s="12" t="s">
        <v>4</v>
      </c>
      <c r="I81" s="234"/>
      <c r="J81" s="236"/>
      <c r="K81" s="42">
        <f>I80</f>
        <v>11232</v>
      </c>
      <c r="L81" s="43" t="s">
        <v>4</v>
      </c>
      <c r="M81" s="44">
        <f>ROUNDDOWN(K81/12,0)</f>
        <v>936</v>
      </c>
      <c r="N81" s="45" t="s">
        <v>4</v>
      </c>
    </row>
    <row r="82" spans="1:14" ht="17.45" customHeight="1" thickBot="1">
      <c r="A82" s="20" t="s">
        <v>13</v>
      </c>
      <c r="B82" s="21"/>
      <c r="C82" s="22"/>
      <c r="D82" s="23"/>
      <c r="E82" s="61"/>
      <c r="F82" s="35"/>
      <c r="G82" s="62"/>
      <c r="H82" s="35"/>
      <c r="I82" s="64"/>
      <c r="J82" s="65"/>
      <c r="K82" s="243" t="s">
        <v>14</v>
      </c>
      <c r="L82" s="244"/>
      <c r="M82" s="244"/>
      <c r="N82" s="245"/>
    </row>
    <row r="83" spans="1:14" ht="17.45" customHeight="1" thickTop="1">
      <c r="A83" s="11" t="s">
        <v>6</v>
      </c>
      <c r="B83" s="12"/>
      <c r="C83" s="13">
        <f>C12*0.3</f>
        <v>2448</v>
      </c>
      <c r="D83" s="14" t="s">
        <v>4</v>
      </c>
      <c r="E83" s="67">
        <v>2</v>
      </c>
      <c r="F83" s="12" t="s">
        <v>7</v>
      </c>
      <c r="G83" s="13">
        <f>ROUNDDOWN(C83*E83,0)</f>
        <v>4896</v>
      </c>
      <c r="H83" s="12" t="s">
        <v>4</v>
      </c>
      <c r="I83" s="232">
        <f>G83+G84</f>
        <v>6408</v>
      </c>
      <c r="J83" s="235" t="s">
        <v>4</v>
      </c>
      <c r="K83" s="34" t="s">
        <v>8</v>
      </c>
      <c r="L83" s="35"/>
      <c r="M83" s="36" t="s">
        <v>9</v>
      </c>
      <c r="N83" s="37"/>
    </row>
    <row r="84" spans="1:14" ht="17.45" customHeight="1" thickBot="1">
      <c r="A84" s="28" t="s">
        <v>10</v>
      </c>
      <c r="B84" s="29"/>
      <c r="C84" s="30">
        <f>C13*0.3</f>
        <v>1512</v>
      </c>
      <c r="D84" s="31" t="s">
        <v>4</v>
      </c>
      <c r="E84" s="63"/>
      <c r="F84" s="29"/>
      <c r="G84" s="30">
        <f>C84</f>
        <v>1512</v>
      </c>
      <c r="H84" s="29" t="s">
        <v>4</v>
      </c>
      <c r="I84" s="237"/>
      <c r="J84" s="238"/>
      <c r="K84" s="46">
        <f>I83</f>
        <v>6408</v>
      </c>
      <c r="L84" s="47" t="s">
        <v>4</v>
      </c>
      <c r="M84" s="48">
        <f>ROUNDDOWN(K84/12,0)</f>
        <v>534</v>
      </c>
      <c r="N84" s="49" t="s">
        <v>4</v>
      </c>
    </row>
    <row r="85" spans="1:14" ht="17.45" customHeight="1" thickBot="1">
      <c r="K85" s="229" t="s">
        <v>15</v>
      </c>
      <c r="L85" s="230"/>
      <c r="M85" s="230"/>
      <c r="N85" s="231"/>
    </row>
    <row r="86" spans="1:14" ht="17.45" customHeight="1" thickTop="1">
      <c r="K86" s="39" t="s">
        <v>8</v>
      </c>
      <c r="L86" s="40"/>
      <c r="M86" s="38" t="s">
        <v>9</v>
      </c>
      <c r="N86" s="41"/>
    </row>
    <row r="87" spans="1:14" ht="17.45" customHeight="1" thickBot="1">
      <c r="K87" s="51">
        <f>K78+K81</f>
        <v>49824</v>
      </c>
      <c r="L87" s="52" t="s">
        <v>4</v>
      </c>
      <c r="M87" s="53">
        <f>ROUNDDOWN(K87/12,0)</f>
        <v>4152</v>
      </c>
      <c r="N87" s="54" t="s">
        <v>4</v>
      </c>
    </row>
    <row r="88" spans="1:14" ht="17.45" customHeight="1" thickBot="1">
      <c r="K88" s="226" t="s">
        <v>26</v>
      </c>
      <c r="L88" s="227"/>
      <c r="M88" s="227"/>
      <c r="N88" s="228"/>
    </row>
    <row r="89" spans="1:14" ht="17.45" customHeight="1" thickTop="1">
      <c r="K89" s="39" t="s">
        <v>8</v>
      </c>
      <c r="L89" s="40"/>
      <c r="M89" s="38" t="s">
        <v>9</v>
      </c>
      <c r="N89" s="41"/>
    </row>
    <row r="90" spans="1:14" ht="17.45" customHeight="1" thickBot="1">
      <c r="K90" s="46">
        <f>K87+K84</f>
        <v>56232</v>
      </c>
      <c r="L90" s="47" t="s">
        <v>4</v>
      </c>
      <c r="M90" s="48">
        <f>ROUNDDOWN(K90/12,0)</f>
        <v>4686</v>
      </c>
      <c r="N90" s="49" t="s">
        <v>4</v>
      </c>
    </row>
  </sheetData>
  <sheetProtection sheet="1" objects="1" scenarios="1" selectLockedCells="1"/>
  <mergeCells count="44">
    <mergeCell ref="I83:I84"/>
    <mergeCell ref="J83:J84"/>
    <mergeCell ref="K85:N85"/>
    <mergeCell ref="K88:N88"/>
    <mergeCell ref="I77:I78"/>
    <mergeCell ref="J77:J78"/>
    <mergeCell ref="K79:N79"/>
    <mergeCell ref="I80:I81"/>
    <mergeCell ref="J80:J81"/>
    <mergeCell ref="K82:N82"/>
    <mergeCell ref="K76:N76"/>
    <mergeCell ref="K40:N40"/>
    <mergeCell ref="K43:N43"/>
    <mergeCell ref="I51:I53"/>
    <mergeCell ref="J51:J53"/>
    <mergeCell ref="K51:N51"/>
    <mergeCell ref="I55:I57"/>
    <mergeCell ref="J55:J57"/>
    <mergeCell ref="K55:N55"/>
    <mergeCell ref="I59:I61"/>
    <mergeCell ref="J59:J61"/>
    <mergeCell ref="K59:N59"/>
    <mergeCell ref="K62:N62"/>
    <mergeCell ref="K65:N65"/>
    <mergeCell ref="I33:I35"/>
    <mergeCell ref="J33:J35"/>
    <mergeCell ref="K33:N33"/>
    <mergeCell ref="I37:I39"/>
    <mergeCell ref="J37:J39"/>
    <mergeCell ref="K37:N37"/>
    <mergeCell ref="I29:I31"/>
    <mergeCell ref="J29:J31"/>
    <mergeCell ref="K29:N29"/>
    <mergeCell ref="I3:I5"/>
    <mergeCell ref="J3:J5"/>
    <mergeCell ref="K3:N3"/>
    <mergeCell ref="I7:I9"/>
    <mergeCell ref="J7:J9"/>
    <mergeCell ref="K7:N7"/>
    <mergeCell ref="I11:I13"/>
    <mergeCell ref="J11:J13"/>
    <mergeCell ref="K11:N11"/>
    <mergeCell ref="K14:N14"/>
    <mergeCell ref="K17:N17"/>
  </mergeCells>
  <phoneticPr fontId="1"/>
  <pageMargins left="0.41" right="0.21" top="0.64" bottom="0.24" header="0.2" footer="0.2"/>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sheetPr codeName="Sheet1"/>
  <dimension ref="A1:AA17"/>
  <sheetViews>
    <sheetView topLeftCell="N1" workbookViewId="0">
      <selection activeCell="O35" sqref="O35"/>
    </sheetView>
  </sheetViews>
  <sheetFormatPr defaultRowHeight="13.5"/>
  <cols>
    <col min="1" max="1" width="5.25" bestFit="1" customWidth="1"/>
  </cols>
  <sheetData>
    <row r="1" spans="1:27">
      <c r="C1" t="s">
        <v>56</v>
      </c>
      <c r="D1" t="s">
        <v>57</v>
      </c>
      <c r="N1" t="s">
        <v>56</v>
      </c>
      <c r="O1" t="s">
        <v>57</v>
      </c>
      <c r="P1" t="s">
        <v>59</v>
      </c>
      <c r="Q1" t="s">
        <v>60</v>
      </c>
      <c r="R1" t="s">
        <v>61</v>
      </c>
      <c r="W1" t="s">
        <v>65</v>
      </c>
      <c r="X1" t="s">
        <v>66</v>
      </c>
      <c r="Y1" t="s">
        <v>67</v>
      </c>
      <c r="Z1" t="s">
        <v>68</v>
      </c>
      <c r="AA1" t="s">
        <v>69</v>
      </c>
    </row>
    <row r="2" spans="1:27">
      <c r="A2" t="s">
        <v>54</v>
      </c>
      <c r="B2" t="s">
        <v>55</v>
      </c>
      <c r="C2" s="101">
        <v>176073</v>
      </c>
      <c r="D2" s="101">
        <v>166796</v>
      </c>
      <c r="H2">
        <v>257845</v>
      </c>
      <c r="I2">
        <v>66360</v>
      </c>
      <c r="L2" t="s">
        <v>54</v>
      </c>
      <c r="M2" t="s">
        <v>55</v>
      </c>
      <c r="N2" s="101">
        <f>89622+18360</f>
        <v>107982</v>
      </c>
      <c r="O2" s="101">
        <v>18360</v>
      </c>
      <c r="P2" s="101">
        <v>0</v>
      </c>
      <c r="Q2" s="101">
        <v>0</v>
      </c>
      <c r="R2" s="101">
        <v>0</v>
      </c>
      <c r="S2" s="99">
        <f>SUM(N2:R2)</f>
        <v>126342</v>
      </c>
      <c r="V2" t="s">
        <v>70</v>
      </c>
      <c r="W2" s="104">
        <v>436904</v>
      </c>
      <c r="X2" s="104">
        <v>59868</v>
      </c>
      <c r="Y2" s="104">
        <v>46548</v>
      </c>
      <c r="Z2" s="104"/>
      <c r="AA2" s="104"/>
    </row>
    <row r="3" spans="1:27">
      <c r="A3">
        <v>1</v>
      </c>
      <c r="B3" s="100">
        <v>27200</v>
      </c>
      <c r="C3" s="101">
        <f>ROUND(B3*$C$2/($C$2+$D$2),0)</f>
        <v>13968</v>
      </c>
      <c r="D3" s="101">
        <f>B3-C3</f>
        <v>13232</v>
      </c>
      <c r="E3" s="101">
        <f>C3+D3</f>
        <v>27200</v>
      </c>
      <c r="G3">
        <v>48700</v>
      </c>
      <c r="H3">
        <v>21672</v>
      </c>
      <c r="I3">
        <v>27028</v>
      </c>
      <c r="J3">
        <f>H3+I3</f>
        <v>48700</v>
      </c>
      <c r="L3">
        <v>1</v>
      </c>
      <c r="M3" s="100">
        <v>11000</v>
      </c>
      <c r="N3" s="101">
        <f>M3-SUM(O3:R3)</f>
        <v>9402</v>
      </c>
      <c r="O3" s="101">
        <f>ROUNDDOWN($M3*O$2/SUM($N$2:$R$2),0)</f>
        <v>1598</v>
      </c>
      <c r="P3" s="101">
        <f t="shared" ref="P3:R3" si="0">ROUNDDOWN($M3*P$2/SUM($N$2:$R$2),0)</f>
        <v>0</v>
      </c>
      <c r="Q3" s="101">
        <f t="shared" si="0"/>
        <v>0</v>
      </c>
      <c r="R3" s="101">
        <f t="shared" si="0"/>
        <v>0</v>
      </c>
      <c r="S3" s="99">
        <f t="shared" ref="S3:S14" si="1">SUM(N3:R3)</f>
        <v>11000</v>
      </c>
      <c r="V3" t="s">
        <v>71</v>
      </c>
      <c r="W3" s="104">
        <v>442926</v>
      </c>
      <c r="X3" s="104">
        <v>61152</v>
      </c>
      <c r="Y3" s="104">
        <v>47112</v>
      </c>
      <c r="Z3" s="104"/>
      <c r="AA3" s="104"/>
    </row>
    <row r="4" spans="1:27">
      <c r="A4">
        <v>2</v>
      </c>
      <c r="B4" s="101">
        <f>B3</f>
        <v>27200</v>
      </c>
      <c r="C4" s="101">
        <f>ROUND(B4*$C$2/($C$2+$D$2),0)</f>
        <v>13968</v>
      </c>
      <c r="D4" s="101">
        <f t="shared" ref="D4:D14" si="2">B4-C4</f>
        <v>13232</v>
      </c>
      <c r="E4" s="101">
        <f t="shared" ref="E4:E14" si="3">C4+D4</f>
        <v>27200</v>
      </c>
      <c r="G4">
        <v>48700</v>
      </c>
      <c r="H4">
        <v>21672</v>
      </c>
      <c r="I4">
        <v>27028</v>
      </c>
      <c r="J4">
        <f t="shared" ref="J4:J14" si="4">H4+I4</f>
        <v>48700</v>
      </c>
      <c r="L4">
        <v>2</v>
      </c>
      <c r="M4" s="101">
        <f>M3</f>
        <v>11000</v>
      </c>
      <c r="N4" s="101">
        <f t="shared" ref="N4:N14" si="5">M4-SUM(O4:R4)</f>
        <v>9402</v>
      </c>
      <c r="O4" s="101">
        <f t="shared" ref="O4:R14" si="6">ROUNDDOWN($M4*O$2/SUM($N$2:$R$2),0)</f>
        <v>1598</v>
      </c>
      <c r="P4" s="101">
        <f t="shared" si="6"/>
        <v>0</v>
      </c>
      <c r="Q4" s="101">
        <f t="shared" si="6"/>
        <v>0</v>
      </c>
      <c r="R4" s="101">
        <f t="shared" si="6"/>
        <v>0</v>
      </c>
      <c r="S4" s="99">
        <f t="shared" si="1"/>
        <v>11000</v>
      </c>
      <c r="V4" t="s">
        <v>72</v>
      </c>
      <c r="W4" s="104"/>
      <c r="X4" s="104"/>
      <c r="Y4" s="104"/>
      <c r="Z4" s="104"/>
      <c r="AA4" s="104"/>
    </row>
    <row r="5" spans="1:27">
      <c r="A5">
        <v>3</v>
      </c>
      <c r="B5" s="101">
        <f>B3</f>
        <v>27200</v>
      </c>
      <c r="C5" s="101">
        <f>ROUND(B5*$C$2/($C$2+$D$2),0)</f>
        <v>13968</v>
      </c>
      <c r="D5" s="101">
        <f t="shared" si="2"/>
        <v>13232</v>
      </c>
      <c r="E5" s="101">
        <f t="shared" si="3"/>
        <v>27200</v>
      </c>
      <c r="G5">
        <v>48700</v>
      </c>
      <c r="H5">
        <v>21672</v>
      </c>
      <c r="I5">
        <v>27028</v>
      </c>
      <c r="J5">
        <f t="shared" si="4"/>
        <v>48700</v>
      </c>
      <c r="L5">
        <v>3</v>
      </c>
      <c r="M5" s="101">
        <f>M3</f>
        <v>11000</v>
      </c>
      <c r="N5" s="101">
        <f t="shared" si="5"/>
        <v>9402</v>
      </c>
      <c r="O5" s="101">
        <f t="shared" si="6"/>
        <v>1598</v>
      </c>
      <c r="P5" s="101">
        <f t="shared" si="6"/>
        <v>0</v>
      </c>
      <c r="Q5" s="101">
        <f t="shared" si="6"/>
        <v>0</v>
      </c>
      <c r="R5" s="101">
        <f t="shared" si="6"/>
        <v>0</v>
      </c>
      <c r="S5" s="99">
        <f t="shared" si="1"/>
        <v>11000</v>
      </c>
      <c r="V5" t="s">
        <v>73</v>
      </c>
      <c r="W5" s="104"/>
      <c r="X5" s="104"/>
      <c r="Y5" s="104"/>
      <c r="Z5" s="104"/>
      <c r="AA5" s="104"/>
    </row>
    <row r="6" spans="1:27">
      <c r="A6">
        <v>4</v>
      </c>
      <c r="B6" s="101">
        <f>SUM($C$2:$D$2)-SUM($B$3:$B$5)-SUM($B$7:$B$14)</f>
        <v>29269</v>
      </c>
      <c r="C6" s="102">
        <f>C2-SUM(C3:C5)-SUM(C7:C14)</f>
        <v>15033</v>
      </c>
      <c r="D6" s="101">
        <f t="shared" si="2"/>
        <v>14236</v>
      </c>
      <c r="E6" s="101">
        <f t="shared" si="3"/>
        <v>29269</v>
      </c>
      <c r="G6">
        <v>20505</v>
      </c>
      <c r="H6" s="97">
        <f>H2-SUM(H3:H5)-SUM(H7:H14)</f>
        <v>22197</v>
      </c>
      <c r="I6" s="97">
        <f>I2-SUM(I3:I5)-SUM(I7:I14)</f>
        <v>-1692</v>
      </c>
      <c r="J6">
        <f t="shared" si="4"/>
        <v>20505</v>
      </c>
      <c r="L6">
        <v>4</v>
      </c>
      <c r="M6" s="101">
        <f>SUM($N$2:$R$2)-SUM($M$3:$M$5)-SUM($M$7:$M$14)</f>
        <v>10942</v>
      </c>
      <c r="N6" s="101">
        <f>M6-SUM(O6:R6)</f>
        <v>9344</v>
      </c>
      <c r="O6" s="101">
        <f>(O2-SUM(O3:O5)-SUM(O7:O14))</f>
        <v>1598</v>
      </c>
      <c r="P6" s="101">
        <f t="shared" ref="P6:R6" si="7">(P2-SUM(P3:P5)-SUM(P7:P14))</f>
        <v>0</v>
      </c>
      <c r="Q6" s="101">
        <f t="shared" si="7"/>
        <v>0</v>
      </c>
      <c r="R6" s="101">
        <f t="shared" si="7"/>
        <v>0</v>
      </c>
      <c r="S6" s="99">
        <f t="shared" si="1"/>
        <v>10942</v>
      </c>
      <c r="V6" t="s">
        <v>74</v>
      </c>
      <c r="W6" s="104"/>
      <c r="X6" s="104"/>
      <c r="Y6" s="104"/>
      <c r="Z6" s="104"/>
      <c r="AA6" s="104"/>
    </row>
    <row r="7" spans="1:27">
      <c r="A7">
        <v>5</v>
      </c>
      <c r="B7" s="101">
        <f>ROUNDDOWN((SUM($C$2:$D$2)-SUM($B$3:$B$5))/9,-2)</f>
        <v>29000</v>
      </c>
      <c r="C7" s="101">
        <f t="shared" ref="C7:C14" si="8">ROUND(B7*$C$2/($C$2+$D$2),0)</f>
        <v>14892</v>
      </c>
      <c r="D7" s="101">
        <f t="shared" si="2"/>
        <v>14108</v>
      </c>
      <c r="E7" s="101">
        <f t="shared" si="3"/>
        <v>29000</v>
      </c>
      <c r="G7">
        <v>19700</v>
      </c>
      <c r="H7">
        <f>ROUND($G7*(H$2-SUM(H$3:H$5))/($H$2+$I$2-SUM($H$3:$I$5)),0)</f>
        <v>21329</v>
      </c>
      <c r="I7">
        <f>ROUND($G7*(I$2-SUM(I$3:I$5))/($H$2+$I$2-SUM($H$3:$I$5)),0)</f>
        <v>-1629</v>
      </c>
      <c r="J7">
        <f t="shared" si="4"/>
        <v>19700</v>
      </c>
      <c r="L7">
        <v>5</v>
      </c>
      <c r="M7" s="101">
        <f>ROUNDDOWN((SUM($N$2:$R$2)-SUM($M$3:$M$5))/9,-2)</f>
        <v>10300</v>
      </c>
      <c r="N7" s="101">
        <f t="shared" si="5"/>
        <v>8804</v>
      </c>
      <c r="O7" s="101">
        <f t="shared" si="6"/>
        <v>1496</v>
      </c>
      <c r="P7" s="101">
        <f t="shared" si="6"/>
        <v>0</v>
      </c>
      <c r="Q7" s="101">
        <f t="shared" si="6"/>
        <v>0</v>
      </c>
      <c r="R7" s="101">
        <f t="shared" si="6"/>
        <v>0</v>
      </c>
      <c r="S7" s="99">
        <f t="shared" si="1"/>
        <v>10300</v>
      </c>
      <c r="U7" t="s">
        <v>64</v>
      </c>
      <c r="V7" t="s">
        <v>63</v>
      </c>
    </row>
    <row r="8" spans="1:27">
      <c r="A8">
        <v>6</v>
      </c>
      <c r="B8" s="101">
        <f t="shared" ref="B8:B14" si="9">ROUNDDOWN((SUM($C$2:$D$2)-SUM($B$3:$B$5))/9,-2)</f>
        <v>29000</v>
      </c>
      <c r="C8" s="101">
        <f t="shared" si="8"/>
        <v>14892</v>
      </c>
      <c r="D8" s="101">
        <f t="shared" si="2"/>
        <v>14108</v>
      </c>
      <c r="E8" s="101">
        <f t="shared" si="3"/>
        <v>29000</v>
      </c>
      <c r="G8">
        <v>19700</v>
      </c>
      <c r="H8">
        <f t="shared" ref="H8:I14" si="10">ROUND($G8*(H$2-SUM(H$3:H$5))/($H$2+$I$2-SUM($H$3:$I$5)),0)</f>
        <v>21329</v>
      </c>
      <c r="I8">
        <f t="shared" si="10"/>
        <v>-1629</v>
      </c>
      <c r="J8">
        <f t="shared" si="4"/>
        <v>19700</v>
      </c>
      <c r="L8">
        <v>6</v>
      </c>
      <c r="M8" s="101">
        <f t="shared" ref="M8:M14" si="11">ROUNDDOWN((SUM($N$2:$R$2)-SUM($M$3:$M$5))/9,-2)</f>
        <v>10300</v>
      </c>
      <c r="N8" s="101">
        <f t="shared" si="5"/>
        <v>8804</v>
      </c>
      <c r="O8" s="101">
        <f t="shared" si="6"/>
        <v>1496</v>
      </c>
      <c r="P8" s="101">
        <f t="shared" si="6"/>
        <v>0</v>
      </c>
      <c r="Q8" s="101">
        <f t="shared" si="6"/>
        <v>0</v>
      </c>
      <c r="R8" s="101">
        <f t="shared" si="6"/>
        <v>0</v>
      </c>
      <c r="S8" s="99">
        <f t="shared" si="1"/>
        <v>10300</v>
      </c>
      <c r="U8" t="s">
        <v>70</v>
      </c>
      <c r="V8" s="104">
        <v>135000</v>
      </c>
      <c r="W8">
        <f>V8-SUM(X8:AA8)</f>
        <v>108560</v>
      </c>
      <c r="X8">
        <f>ROUNDDOWN($V8*X2/SUM($W2:$AA2),0)</f>
        <v>14875</v>
      </c>
      <c r="Y8">
        <f t="shared" ref="Y8:Z8" si="12">ROUNDDOWN($V8*Y2/SUM($W2:$AA2),0)</f>
        <v>11565</v>
      </c>
      <c r="Z8">
        <f t="shared" si="12"/>
        <v>0</v>
      </c>
      <c r="AA8">
        <f>ROUNDDOWN($V8*AA2/SUM($W2:$AA2),0)</f>
        <v>0</v>
      </c>
    </row>
    <row r="9" spans="1:27">
      <c r="A9">
        <v>7</v>
      </c>
      <c r="B9" s="101">
        <f t="shared" si="9"/>
        <v>29000</v>
      </c>
      <c r="C9" s="101">
        <f t="shared" si="8"/>
        <v>14892</v>
      </c>
      <c r="D9" s="101">
        <f t="shared" si="2"/>
        <v>14108</v>
      </c>
      <c r="E9" s="101">
        <f t="shared" si="3"/>
        <v>29000</v>
      </c>
      <c r="G9">
        <v>19700</v>
      </c>
      <c r="H9">
        <f t="shared" si="10"/>
        <v>21329</v>
      </c>
      <c r="I9">
        <f t="shared" si="10"/>
        <v>-1629</v>
      </c>
      <c r="J9">
        <f t="shared" si="4"/>
        <v>19700</v>
      </c>
      <c r="L9">
        <v>7</v>
      </c>
      <c r="M9" s="101">
        <f t="shared" si="11"/>
        <v>10300</v>
      </c>
      <c r="N9" s="101">
        <f t="shared" si="5"/>
        <v>8804</v>
      </c>
      <c r="O9" s="101">
        <f t="shared" si="6"/>
        <v>1496</v>
      </c>
      <c r="P9" s="101">
        <f t="shared" si="6"/>
        <v>0</v>
      </c>
      <c r="Q9" s="101">
        <f t="shared" si="6"/>
        <v>0</v>
      </c>
      <c r="R9" s="101">
        <f t="shared" si="6"/>
        <v>0</v>
      </c>
      <c r="S9" s="99">
        <f t="shared" si="1"/>
        <v>10300</v>
      </c>
      <c r="U9" t="s">
        <v>71</v>
      </c>
      <c r="V9" s="104">
        <v>413490</v>
      </c>
      <c r="W9">
        <f t="shared" ref="W9:W12" si="13">V9-SUM(X9:AA9)</f>
        <v>332274</v>
      </c>
      <c r="X9">
        <f t="shared" ref="X9:AA9" si="14">ROUNDDOWN($V9*X3/SUM($W3:$AA3),0)</f>
        <v>45874</v>
      </c>
      <c r="Y9">
        <f t="shared" si="14"/>
        <v>35342</v>
      </c>
      <c r="Z9">
        <f t="shared" si="14"/>
        <v>0</v>
      </c>
      <c r="AA9">
        <f t="shared" si="14"/>
        <v>0</v>
      </c>
    </row>
    <row r="10" spans="1:27">
      <c r="A10">
        <v>8</v>
      </c>
      <c r="B10" s="101">
        <f t="shared" si="9"/>
        <v>29000</v>
      </c>
      <c r="C10" s="101">
        <f t="shared" si="8"/>
        <v>14892</v>
      </c>
      <c r="D10" s="101">
        <f t="shared" si="2"/>
        <v>14108</v>
      </c>
      <c r="E10" s="101">
        <f t="shared" si="3"/>
        <v>29000</v>
      </c>
      <c r="G10">
        <v>19700</v>
      </c>
      <c r="H10">
        <f t="shared" si="10"/>
        <v>21329</v>
      </c>
      <c r="I10">
        <f t="shared" si="10"/>
        <v>-1629</v>
      </c>
      <c r="J10">
        <f t="shared" si="4"/>
        <v>19700</v>
      </c>
      <c r="L10">
        <v>8</v>
      </c>
      <c r="M10" s="101">
        <f t="shared" si="11"/>
        <v>10300</v>
      </c>
      <c r="N10" s="101">
        <f t="shared" si="5"/>
        <v>8804</v>
      </c>
      <c r="O10" s="101">
        <f t="shared" si="6"/>
        <v>1496</v>
      </c>
      <c r="P10" s="101">
        <f t="shared" si="6"/>
        <v>0</v>
      </c>
      <c r="Q10" s="101">
        <f t="shared" si="6"/>
        <v>0</v>
      </c>
      <c r="R10" s="101">
        <f t="shared" si="6"/>
        <v>0</v>
      </c>
      <c r="S10" s="99">
        <f t="shared" si="1"/>
        <v>10300</v>
      </c>
      <c r="U10" t="s">
        <v>72</v>
      </c>
      <c r="V10" s="104"/>
      <c r="W10" t="e">
        <f t="shared" si="13"/>
        <v>#DIV/0!</v>
      </c>
      <c r="X10" t="e">
        <f t="shared" ref="X10:AA10" si="15">ROUNDDOWN($V10*X4/SUM($W4:$AA4),0)</f>
        <v>#DIV/0!</v>
      </c>
      <c r="Y10" t="e">
        <f t="shared" si="15"/>
        <v>#DIV/0!</v>
      </c>
      <c r="Z10" t="e">
        <f t="shared" si="15"/>
        <v>#DIV/0!</v>
      </c>
      <c r="AA10" t="e">
        <f t="shared" si="15"/>
        <v>#DIV/0!</v>
      </c>
    </row>
    <row r="11" spans="1:27">
      <c r="A11">
        <v>9</v>
      </c>
      <c r="B11" s="101">
        <f t="shared" si="9"/>
        <v>29000</v>
      </c>
      <c r="C11" s="101">
        <f t="shared" si="8"/>
        <v>14892</v>
      </c>
      <c r="D11" s="101">
        <f t="shared" si="2"/>
        <v>14108</v>
      </c>
      <c r="E11" s="101">
        <f t="shared" si="3"/>
        <v>29000</v>
      </c>
      <c r="G11">
        <v>19700</v>
      </c>
      <c r="H11">
        <f t="shared" si="10"/>
        <v>21329</v>
      </c>
      <c r="I11">
        <f t="shared" si="10"/>
        <v>-1629</v>
      </c>
      <c r="J11">
        <f t="shared" si="4"/>
        <v>19700</v>
      </c>
      <c r="L11">
        <v>9</v>
      </c>
      <c r="M11" s="101">
        <f t="shared" si="11"/>
        <v>10300</v>
      </c>
      <c r="N11" s="101">
        <f t="shared" si="5"/>
        <v>8804</v>
      </c>
      <c r="O11" s="101">
        <f t="shared" si="6"/>
        <v>1496</v>
      </c>
      <c r="P11" s="101">
        <f t="shared" si="6"/>
        <v>0</v>
      </c>
      <c r="Q11" s="101">
        <f t="shared" si="6"/>
        <v>0</v>
      </c>
      <c r="R11" s="101">
        <f t="shared" si="6"/>
        <v>0</v>
      </c>
      <c r="S11" s="99">
        <f t="shared" si="1"/>
        <v>10300</v>
      </c>
      <c r="U11" t="s">
        <v>73</v>
      </c>
      <c r="V11" s="104"/>
      <c r="W11" t="e">
        <f t="shared" si="13"/>
        <v>#DIV/0!</v>
      </c>
      <c r="X11" t="e">
        <f t="shared" ref="X11:AA11" si="16">ROUNDDOWN($V11*X5/SUM($W5:$AA5),0)</f>
        <v>#DIV/0!</v>
      </c>
      <c r="Y11" t="e">
        <f t="shared" si="16"/>
        <v>#DIV/0!</v>
      </c>
      <c r="Z11" t="e">
        <f t="shared" si="16"/>
        <v>#DIV/0!</v>
      </c>
      <c r="AA11" t="e">
        <f t="shared" si="16"/>
        <v>#DIV/0!</v>
      </c>
    </row>
    <row r="12" spans="1:27">
      <c r="A12">
        <v>10</v>
      </c>
      <c r="B12" s="101">
        <f t="shared" si="9"/>
        <v>29000</v>
      </c>
      <c r="C12" s="101">
        <f t="shared" si="8"/>
        <v>14892</v>
      </c>
      <c r="D12" s="101">
        <f t="shared" si="2"/>
        <v>14108</v>
      </c>
      <c r="E12" s="101">
        <f t="shared" si="3"/>
        <v>29000</v>
      </c>
      <c r="G12">
        <v>19700</v>
      </c>
      <c r="H12">
        <f t="shared" si="10"/>
        <v>21329</v>
      </c>
      <c r="I12">
        <f t="shared" si="10"/>
        <v>-1629</v>
      </c>
      <c r="J12">
        <f t="shared" si="4"/>
        <v>19700</v>
      </c>
      <c r="L12">
        <v>10</v>
      </c>
      <c r="M12" s="101">
        <f t="shared" si="11"/>
        <v>10300</v>
      </c>
      <c r="N12" s="101">
        <f t="shared" si="5"/>
        <v>8804</v>
      </c>
      <c r="O12" s="101">
        <f t="shared" si="6"/>
        <v>1496</v>
      </c>
      <c r="P12" s="101">
        <f t="shared" si="6"/>
        <v>0</v>
      </c>
      <c r="Q12" s="101">
        <f t="shared" si="6"/>
        <v>0</v>
      </c>
      <c r="R12" s="101">
        <f t="shared" si="6"/>
        <v>0</v>
      </c>
      <c r="S12" s="99">
        <f t="shared" si="1"/>
        <v>10300</v>
      </c>
      <c r="U12" t="s">
        <v>74</v>
      </c>
      <c r="V12" s="104"/>
      <c r="W12" t="e">
        <f t="shared" si="13"/>
        <v>#DIV/0!</v>
      </c>
      <c r="X12" t="e">
        <f>ROUNDDOWN($V12*X6/SUM($W6:$AA6),0)</f>
        <v>#DIV/0!</v>
      </c>
      <c r="Y12" t="e">
        <f t="shared" ref="Y12:AA12" si="17">ROUNDDOWN($V12*Y6/SUM($W6:$AA6),0)</f>
        <v>#DIV/0!</v>
      </c>
      <c r="Z12" t="e">
        <f t="shared" si="17"/>
        <v>#DIV/0!</v>
      </c>
      <c r="AA12" t="e">
        <f t="shared" si="17"/>
        <v>#DIV/0!</v>
      </c>
    </row>
    <row r="13" spans="1:27">
      <c r="A13">
        <v>11</v>
      </c>
      <c r="B13" s="101">
        <f t="shared" si="9"/>
        <v>29000</v>
      </c>
      <c r="C13" s="101">
        <f t="shared" si="8"/>
        <v>14892</v>
      </c>
      <c r="D13" s="101">
        <f t="shared" si="2"/>
        <v>14108</v>
      </c>
      <c r="E13" s="101">
        <f t="shared" si="3"/>
        <v>29000</v>
      </c>
      <c r="G13">
        <v>19700</v>
      </c>
      <c r="H13">
        <f t="shared" si="10"/>
        <v>21329</v>
      </c>
      <c r="I13">
        <f t="shared" si="10"/>
        <v>-1629</v>
      </c>
      <c r="J13">
        <f t="shared" si="4"/>
        <v>19700</v>
      </c>
      <c r="L13">
        <v>11</v>
      </c>
      <c r="M13" s="101">
        <f t="shared" si="11"/>
        <v>10300</v>
      </c>
      <c r="N13" s="101">
        <f t="shared" si="5"/>
        <v>8804</v>
      </c>
      <c r="O13" s="101">
        <f t="shared" si="6"/>
        <v>1496</v>
      </c>
      <c r="P13" s="101">
        <f t="shared" si="6"/>
        <v>0</v>
      </c>
      <c r="Q13" s="101">
        <f t="shared" si="6"/>
        <v>0</v>
      </c>
      <c r="R13" s="101">
        <f t="shared" si="6"/>
        <v>0</v>
      </c>
      <c r="S13" s="99">
        <f t="shared" si="1"/>
        <v>10300</v>
      </c>
    </row>
    <row r="14" spans="1:27">
      <c r="A14">
        <v>12</v>
      </c>
      <c r="B14" s="101">
        <f t="shared" si="9"/>
        <v>29000</v>
      </c>
      <c r="C14" s="101">
        <f t="shared" si="8"/>
        <v>14892</v>
      </c>
      <c r="D14" s="101">
        <f t="shared" si="2"/>
        <v>14108</v>
      </c>
      <c r="E14" s="101">
        <f t="shared" si="3"/>
        <v>29000</v>
      </c>
      <c r="G14">
        <v>19700</v>
      </c>
      <c r="H14">
        <f t="shared" si="10"/>
        <v>21329</v>
      </c>
      <c r="I14">
        <f t="shared" si="10"/>
        <v>-1629</v>
      </c>
      <c r="J14">
        <f t="shared" si="4"/>
        <v>19700</v>
      </c>
      <c r="L14">
        <v>12</v>
      </c>
      <c r="M14" s="101">
        <f t="shared" si="11"/>
        <v>10300</v>
      </c>
      <c r="N14" s="101">
        <f t="shared" si="5"/>
        <v>8804</v>
      </c>
      <c r="O14" s="101">
        <f t="shared" si="6"/>
        <v>1496</v>
      </c>
      <c r="P14" s="101">
        <f t="shared" si="6"/>
        <v>0</v>
      </c>
      <c r="Q14" s="101">
        <f t="shared" si="6"/>
        <v>0</v>
      </c>
      <c r="R14" s="101">
        <f t="shared" si="6"/>
        <v>0</v>
      </c>
      <c r="S14" s="99">
        <f t="shared" si="1"/>
        <v>10300</v>
      </c>
    </row>
    <row r="15" spans="1:27">
      <c r="B15" s="101"/>
      <c r="C15" s="101">
        <f>SUM(C3:C14)</f>
        <v>176073</v>
      </c>
      <c r="D15" s="101">
        <f>SUM(D3:D14)</f>
        <v>166796</v>
      </c>
      <c r="E15" s="101"/>
      <c r="H15">
        <f>SUM(H3:H14)</f>
        <v>257845</v>
      </c>
      <c r="I15">
        <f>SUM(I3:I14)</f>
        <v>66360</v>
      </c>
      <c r="M15" s="101"/>
      <c r="N15" s="101">
        <f>SUM(N3:N14)</f>
        <v>107982</v>
      </c>
      <c r="O15" s="101">
        <f>SUM(O3:O14)</f>
        <v>18360</v>
      </c>
      <c r="P15" s="101">
        <f t="shared" ref="P15:R15" si="18">SUM(P3:P14)</f>
        <v>0</v>
      </c>
      <c r="Q15" s="101">
        <f t="shared" si="18"/>
        <v>0</v>
      </c>
      <c r="R15" s="101">
        <f t="shared" si="18"/>
        <v>0</v>
      </c>
      <c r="S15" s="101"/>
    </row>
    <row r="17" spans="1:12">
      <c r="A17" s="103" t="s">
        <v>58</v>
      </c>
      <c r="L17" s="103" t="s">
        <v>62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入力</vt:lpstr>
      <vt:lpstr>月別計算</vt:lpstr>
      <vt:lpstr>H29</vt:lpstr>
      <vt:lpstr>H28</vt:lpstr>
      <vt:lpstr>H27</vt:lpstr>
      <vt:lpstr>H26</vt:lpstr>
      <vt:lpstr>H25</vt:lpstr>
      <vt:lpstr>H24</vt:lpstr>
      <vt:lpstr>Sheet1</vt:lpstr>
      <vt:lpstr>入力!Print_Area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HKRYOUKIN</cp:lastModifiedBy>
  <cp:lastPrinted>2017-06-22T01:11:28Z</cp:lastPrinted>
  <dcterms:created xsi:type="dcterms:W3CDTF">2013-06-13T01:18:09Z</dcterms:created>
  <dcterms:modified xsi:type="dcterms:W3CDTF">2017-06-22T01:25:04Z</dcterms:modified>
</cp:coreProperties>
</file>